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İdareler Uygulama Projeleri\SUİŞ GAZİANTEP PROJE\GASKI ANALİZLER\2023 rapor ek revize\"/>
    </mc:Choice>
  </mc:AlternateContent>
  <xr:revisionPtr revIDLastSave="0" documentId="13_ncr:1_{0450FDDE-74F9-47D6-8829-85B3D2834D0F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veri- " sheetId="2" r:id="rId1"/>
    <sheet name="PG_analiz-örnek" sheetId="3" r:id="rId2"/>
  </sheets>
  <calcPr calcId="191029"/>
</workbook>
</file>

<file path=xl/calcChain.xml><?xml version="1.0" encoding="utf-8"?>
<calcChain xmlns="http://schemas.openxmlformats.org/spreadsheetml/2006/main">
  <c r="D83" i="3" l="1"/>
  <c r="F83" i="3" l="1"/>
  <c r="G83" i="3"/>
  <c r="H83" i="3"/>
  <c r="E83" i="3"/>
  <c r="E81" i="3"/>
  <c r="F81" i="3"/>
  <c r="G81" i="3"/>
  <c r="H81" i="3"/>
  <c r="D81" i="3"/>
  <c r="E24" i="3" l="1"/>
  <c r="F24" i="3"/>
  <c r="G24" i="3"/>
  <c r="H24" i="3"/>
  <c r="D24" i="3"/>
  <c r="E23" i="3"/>
  <c r="E70" i="3" s="1"/>
  <c r="F23" i="3"/>
  <c r="F70" i="3" s="1"/>
  <c r="G23" i="3"/>
  <c r="G70" i="3" s="1"/>
  <c r="H23" i="3"/>
  <c r="H70" i="3" s="1"/>
  <c r="D23" i="3"/>
  <c r="D70" i="3" s="1"/>
  <c r="E29" i="2" l="1"/>
  <c r="F29" i="2"/>
  <c r="G29" i="2"/>
  <c r="H29" i="2"/>
  <c r="D29" i="2"/>
  <c r="E11" i="3" l="1"/>
  <c r="F11" i="3"/>
  <c r="G11" i="3"/>
  <c r="H11" i="3"/>
  <c r="D11" i="3"/>
  <c r="E12" i="3"/>
  <c r="F12" i="3"/>
  <c r="G12" i="3"/>
  <c r="H12" i="3"/>
  <c r="D12" i="3"/>
  <c r="G63" i="3" l="1"/>
  <c r="G62" i="3"/>
  <c r="D62" i="3"/>
  <c r="D63" i="3"/>
  <c r="F62" i="3"/>
  <c r="F63" i="3"/>
  <c r="H63" i="3"/>
  <c r="H62" i="3"/>
  <c r="E62" i="3"/>
  <c r="E63" i="3"/>
  <c r="D80" i="3"/>
  <c r="E82" i="3"/>
  <c r="F82" i="3"/>
  <c r="G82" i="3"/>
  <c r="H82" i="3"/>
  <c r="D82" i="3"/>
  <c r="E80" i="3"/>
  <c r="F80" i="3"/>
  <c r="G80" i="3"/>
  <c r="H80" i="3"/>
  <c r="E96" i="3" l="1"/>
  <c r="F96" i="3"/>
  <c r="G96" i="3"/>
  <c r="H96" i="3"/>
  <c r="D96" i="3"/>
  <c r="E95" i="3"/>
  <c r="F95" i="3"/>
  <c r="G95" i="3"/>
  <c r="H95" i="3"/>
  <c r="D95" i="3"/>
  <c r="E94" i="3"/>
  <c r="F94" i="3"/>
  <c r="G94" i="3"/>
  <c r="H94" i="3"/>
  <c r="D94" i="3"/>
  <c r="E26" i="2"/>
  <c r="E27" i="2" s="1"/>
  <c r="F26" i="2"/>
  <c r="F18" i="3" s="1"/>
  <c r="G26" i="2"/>
  <c r="G18" i="3" s="1"/>
  <c r="H26" i="2"/>
  <c r="H18" i="3" s="1"/>
  <c r="D26" i="2"/>
  <c r="D27" i="2" s="1"/>
  <c r="D28" i="2" s="1"/>
  <c r="D53" i="3" s="1"/>
  <c r="F20" i="3"/>
  <c r="F30" i="3" s="1"/>
  <c r="D18" i="3"/>
  <c r="E30" i="2"/>
  <c r="E22" i="3" s="1"/>
  <c r="F30" i="2"/>
  <c r="F22" i="3" s="1"/>
  <c r="F69" i="3" s="1"/>
  <c r="G30" i="2"/>
  <c r="G22" i="3" s="1"/>
  <c r="G69" i="3" s="1"/>
  <c r="H30" i="2"/>
  <c r="H22" i="3" s="1"/>
  <c r="H69" i="3" s="1"/>
  <c r="D30" i="2"/>
  <c r="D22" i="3" s="1"/>
  <c r="E20" i="3"/>
  <c r="G20" i="3"/>
  <c r="H20" i="3"/>
  <c r="D20" i="3"/>
  <c r="E14" i="3"/>
  <c r="F14" i="3"/>
  <c r="G14" i="3"/>
  <c r="H14" i="3"/>
  <c r="D14" i="3"/>
  <c r="E13" i="3"/>
  <c r="F13" i="3"/>
  <c r="G13" i="3"/>
  <c r="H13" i="3"/>
  <c r="D13" i="3"/>
  <c r="E10" i="3"/>
  <c r="F10" i="3"/>
  <c r="G10" i="3"/>
  <c r="H10" i="3"/>
  <c r="D10" i="3"/>
  <c r="E7" i="3"/>
  <c r="F7" i="3"/>
  <c r="G7" i="3"/>
  <c r="H7" i="3"/>
  <c r="D7" i="3"/>
  <c r="E6" i="3"/>
  <c r="F6" i="3"/>
  <c r="G6" i="3"/>
  <c r="H6" i="3"/>
  <c r="D6" i="3"/>
  <c r="E5" i="3"/>
  <c r="F5" i="3"/>
  <c r="F87" i="3" s="1"/>
  <c r="F89" i="3" s="1"/>
  <c r="G5" i="3"/>
  <c r="H5" i="3"/>
  <c r="D5" i="3"/>
  <c r="D87" i="3" s="1"/>
  <c r="D89" i="3" s="1"/>
  <c r="E3" i="3"/>
  <c r="F3" i="3"/>
  <c r="G3" i="3"/>
  <c r="H3" i="3"/>
  <c r="D3" i="3"/>
  <c r="E54" i="3" l="1"/>
  <c r="E88" i="3"/>
  <c r="D54" i="3"/>
  <c r="D88" i="3"/>
  <c r="F54" i="3"/>
  <c r="F88" i="3"/>
  <c r="H54" i="3"/>
  <c r="H88" i="3"/>
  <c r="H90" i="3" s="1"/>
  <c r="G54" i="3"/>
  <c r="G88" i="3"/>
  <c r="G90" i="3" s="1"/>
  <c r="D68" i="3"/>
  <c r="D32" i="3"/>
  <c r="D30" i="3"/>
  <c r="G30" i="3"/>
  <c r="H30" i="3"/>
  <c r="E30" i="3"/>
  <c r="D47" i="3"/>
  <c r="F68" i="3"/>
  <c r="H28" i="3"/>
  <c r="G28" i="3"/>
  <c r="E69" i="3"/>
  <c r="E33" i="3"/>
  <c r="H60" i="3"/>
  <c r="H61" i="3"/>
  <c r="G61" i="3"/>
  <c r="G60" i="3"/>
  <c r="F28" i="3"/>
  <c r="E61" i="3"/>
  <c r="E60" i="3"/>
  <c r="E68" i="3"/>
  <c r="E32" i="3"/>
  <c r="H68" i="3"/>
  <c r="D69" i="3"/>
  <c r="D33" i="3"/>
  <c r="D60" i="3"/>
  <c r="D61" i="3"/>
  <c r="F61" i="3"/>
  <c r="F60" i="3"/>
  <c r="G68" i="3"/>
  <c r="F90" i="3"/>
  <c r="E55" i="3"/>
  <c r="G40" i="3"/>
  <c r="E40" i="3"/>
  <c r="D8" i="3"/>
  <c r="H87" i="3"/>
  <c r="H89" i="3" s="1"/>
  <c r="G87" i="3"/>
  <c r="G89" i="3" s="1"/>
  <c r="E87" i="3"/>
  <c r="E89" i="3" s="1"/>
  <c r="D55" i="3"/>
  <c r="H40" i="3"/>
  <c r="D90" i="3"/>
  <c r="F33" i="3"/>
  <c r="H39" i="3"/>
  <c r="E90" i="3"/>
  <c r="H8" i="3"/>
  <c r="F37" i="3"/>
  <c r="E46" i="3"/>
  <c r="G39" i="3"/>
  <c r="E47" i="3"/>
  <c r="G8" i="3"/>
  <c r="H33" i="3"/>
  <c r="F55" i="3"/>
  <c r="D28" i="3"/>
  <c r="G33" i="3"/>
  <c r="F39" i="3"/>
  <c r="F47" i="3"/>
  <c r="F44" i="3"/>
  <c r="H55" i="3"/>
  <c r="E39" i="3"/>
  <c r="G55" i="3"/>
  <c r="H32" i="3"/>
  <c r="H46" i="3"/>
  <c r="H47" i="3"/>
  <c r="G44" i="3"/>
  <c r="G32" i="3"/>
  <c r="G46" i="3"/>
  <c r="H44" i="3"/>
  <c r="G47" i="3"/>
  <c r="F32" i="3"/>
  <c r="D37" i="3"/>
  <c r="F46" i="3"/>
  <c r="F8" i="3"/>
  <c r="H37" i="3"/>
  <c r="G37" i="3"/>
  <c r="F40" i="3"/>
  <c r="E28" i="2"/>
  <c r="E53" i="3" s="1"/>
  <c r="E19" i="3"/>
  <c r="E29" i="3" s="1"/>
  <c r="H27" i="2"/>
  <c r="G27" i="2"/>
  <c r="F27" i="2"/>
  <c r="E18" i="3"/>
  <c r="E28" i="3" s="1"/>
  <c r="D19" i="3"/>
  <c r="D29" i="3" s="1"/>
  <c r="E8" i="3"/>
  <c r="D46" i="3"/>
  <c r="D40" i="3"/>
  <c r="D39" i="3"/>
  <c r="D44" i="3"/>
  <c r="D21" i="3" l="1"/>
  <c r="E21" i="3"/>
  <c r="E44" i="3"/>
  <c r="E37" i="3"/>
  <c r="F28" i="2"/>
  <c r="F53" i="3" s="1"/>
  <c r="F19" i="3"/>
  <c r="F29" i="3" s="1"/>
  <c r="H19" i="3"/>
  <c r="H29" i="3" s="1"/>
  <c r="H28" i="2"/>
  <c r="H53" i="3" s="1"/>
  <c r="G19" i="3"/>
  <c r="G29" i="3" s="1"/>
  <c r="G28" i="2"/>
  <c r="G53" i="3" s="1"/>
  <c r="E67" i="3" l="1"/>
  <c r="E52" i="3"/>
  <c r="E31" i="3"/>
  <c r="D67" i="3"/>
  <c r="D71" i="3" s="1"/>
  <c r="D52" i="3"/>
  <c r="D31" i="3"/>
  <c r="E51" i="3"/>
  <c r="D72" i="3"/>
  <c r="J22" i="3"/>
  <c r="D56" i="3"/>
  <c r="E79" i="3"/>
  <c r="E71" i="3"/>
  <c r="E75" i="3" s="1"/>
  <c r="D45" i="3"/>
  <c r="E56" i="3"/>
  <c r="E38" i="3"/>
  <c r="D38" i="3"/>
  <c r="E45" i="3"/>
  <c r="G21" i="3"/>
  <c r="D51" i="3"/>
  <c r="H21" i="3"/>
  <c r="F21" i="3"/>
  <c r="D79" i="3"/>
  <c r="F67" i="3" l="1"/>
  <c r="F52" i="3"/>
  <c r="F31" i="3"/>
  <c r="H67" i="3"/>
  <c r="H71" i="3" s="1"/>
  <c r="H72" i="3" s="1"/>
  <c r="H52" i="3"/>
  <c r="H31" i="3"/>
  <c r="G67" i="3"/>
  <c r="G71" i="3" s="1"/>
  <c r="G73" i="3" s="1"/>
  <c r="G31" i="3"/>
  <c r="G52" i="3"/>
  <c r="F51" i="3"/>
  <c r="H56" i="3"/>
  <c r="D74" i="3"/>
  <c r="E74" i="3"/>
  <c r="E72" i="3"/>
  <c r="E73" i="3"/>
  <c r="F38" i="3"/>
  <c r="G56" i="3"/>
  <c r="F45" i="3"/>
  <c r="G45" i="3"/>
  <c r="F79" i="3"/>
  <c r="F56" i="3"/>
  <c r="F71" i="3"/>
  <c r="F72" i="3" s="1"/>
  <c r="H38" i="3"/>
  <c r="H45" i="3"/>
  <c r="H51" i="3"/>
  <c r="H79" i="3"/>
  <c r="G38" i="3"/>
  <c r="G79" i="3"/>
  <c r="G51" i="3"/>
  <c r="D73" i="3"/>
  <c r="D75" i="3"/>
  <c r="F75" i="3" l="1"/>
  <c r="G75" i="3"/>
  <c r="G74" i="3"/>
  <c r="G72" i="3"/>
  <c r="F74" i="3"/>
  <c r="F73" i="3"/>
  <c r="H74" i="3"/>
  <c r="H73" i="3"/>
  <c r="H75" i="3"/>
</calcChain>
</file>

<file path=xl/sharedStrings.xml><?xml version="1.0" encoding="utf-8"?>
<sst xmlns="http://schemas.openxmlformats.org/spreadsheetml/2006/main" count="295" uniqueCount="159">
  <si>
    <t>adet</t>
  </si>
  <si>
    <t>Abone İşleri D.B.</t>
  </si>
  <si>
    <t>Hizmet Edilen Ticari Abone Sayısı</t>
  </si>
  <si>
    <t>Hizmet Edilen Konut Abone Sayısı</t>
  </si>
  <si>
    <t>%</t>
  </si>
  <si>
    <t>m3</t>
  </si>
  <si>
    <t>km</t>
  </si>
  <si>
    <t>İçmesuyu D.B.</t>
  </si>
  <si>
    <t>Toplam Servis Bağlantı Sayısı (Nc)</t>
  </si>
  <si>
    <t>Ortalama Servis Bağlatı uzunluğu</t>
  </si>
  <si>
    <t>m</t>
  </si>
  <si>
    <t>yıl</t>
  </si>
  <si>
    <t>Maksimum-minimum kot farkı</t>
  </si>
  <si>
    <t>Bilinen vana sayısı</t>
  </si>
  <si>
    <t>İzolasyon vana sayısı</t>
  </si>
  <si>
    <t>Şebeke İşletme Bileşenleri-1</t>
  </si>
  <si>
    <t>Bilgi İşlem D.B.</t>
  </si>
  <si>
    <t>Faturalandırılmış Ölçülmemiş Yasal Kullanım</t>
  </si>
  <si>
    <t>Faturalandırılmış Ölçülmüş Yasal Kullanım</t>
  </si>
  <si>
    <t>Faturalandırılmamış Ölçülmüş Yasal Kullanım</t>
  </si>
  <si>
    <t>Faturalandırılmamış Ölçülmemiş Yasal Kullanım</t>
  </si>
  <si>
    <t>Sistem Giriş Hacmi</t>
  </si>
  <si>
    <t>Şebeke Anahat Uzunluğu (Lm)</t>
  </si>
  <si>
    <t>Servis Bağlantılarının Toplam Uzunluğu (Lp)</t>
  </si>
  <si>
    <t>Şebeke Ortalama Yaşı</t>
  </si>
  <si>
    <t>Ortalama Sistem Basıncı (P)</t>
  </si>
  <si>
    <t>Diğer Sistemlere İletilen Hacim (Çıkış Hacmi)</t>
  </si>
  <si>
    <t xml:space="preserve">Yasadışı-Kaçak Kullanım Oranı </t>
  </si>
  <si>
    <t>Abone Sayaç Hata Oranı</t>
  </si>
  <si>
    <t>l/s</t>
  </si>
  <si>
    <t>Toplam Hizmet Edilen Nüfus</t>
  </si>
  <si>
    <t>Fatura Döneminde Okunan Abone Sayısı</t>
  </si>
  <si>
    <t>Tahsilat Yapılan Toplam Hacim</t>
  </si>
  <si>
    <t>TL/m3</t>
  </si>
  <si>
    <t>Nüfus ve Abone Verileri ve Şebeke Fiziksel Bileşenler</t>
  </si>
  <si>
    <t>Suyun Üretim Maliyeti</t>
  </si>
  <si>
    <t>Rehabilitasyonu Yapılan Hat Uzunluğu</t>
  </si>
  <si>
    <t>Değiştirilen Vana Sayısı</t>
  </si>
  <si>
    <t>Rehabilitasyon Yapılan Bağlantı Sayısı</t>
  </si>
  <si>
    <t>KM</t>
  </si>
  <si>
    <t>GASKİ MERKEZ</t>
  </si>
  <si>
    <t>Bölgede kaydedilen şebeke arıza sayısı (YÜZEYE ÇIKAN VE ÇIKMAYAN)</t>
  </si>
  <si>
    <t>Su Dengesi tablosundan</t>
  </si>
  <si>
    <t>Bölgede kaydedilen servis bağlantı arıza sayısı (YÜZEYE ÇIKAN VE ÇIKMAYAN)</t>
  </si>
  <si>
    <t>Su satış bedeli (1 m3 için)</t>
  </si>
  <si>
    <t>Ölçülen Minimum Gece Debisi (gece 02:00-04:00 arası depo çıkış debilerinin ortalaması)</t>
  </si>
  <si>
    <t xml:space="preserve">m3 </t>
  </si>
  <si>
    <t xml:space="preserve">TL  </t>
  </si>
  <si>
    <t>Su Kayıp Değerlendirme  (GGS ve Alt Bileşenler)</t>
  </si>
  <si>
    <t>Sistem Karakteristiği</t>
  </si>
  <si>
    <t>Birim</t>
  </si>
  <si>
    <t>GÜN SAYISI</t>
  </si>
  <si>
    <t>Şebeke Uzunluğu (Lm)</t>
  </si>
  <si>
    <t>Servis Bağlantı Sayısı (Nc)</t>
  </si>
  <si>
    <t>Servis Bağlantı Yoğunluğu (Nc/Lm)</t>
  </si>
  <si>
    <t>adet/km</t>
  </si>
  <si>
    <t>Ortalama Sistem Basıncı</t>
  </si>
  <si>
    <t>Sistem Net Giriş Hacmi (SIV)</t>
  </si>
  <si>
    <t>Faturalandırılmış Yasal Kullanım Hacmi</t>
  </si>
  <si>
    <t>Toplam Abone Sayısı</t>
  </si>
  <si>
    <t>Gelir Getirmeyen Su Hacmi</t>
  </si>
  <si>
    <t xml:space="preserve">Su Kayıp Hacmi </t>
  </si>
  <si>
    <t>Fiziki Kayıp Hacmi</t>
  </si>
  <si>
    <t>İdari Kayıp Hacmi</t>
  </si>
  <si>
    <t>Faturalandırılmamış Yasal Kullanım Hacmi</t>
  </si>
  <si>
    <t xml:space="preserve">Gelir Getirmeyen Su Oranı </t>
  </si>
  <si>
    <t>Toplam Su Kayıp Oranı</t>
  </si>
  <si>
    <t xml:space="preserve">İdari Kayıp Oranı </t>
  </si>
  <si>
    <t>Fiziki Kayıp Oranı</t>
  </si>
  <si>
    <t>İdari Kayıp Hacmi / Faturalandırılmış Yasal Kullanım Hacmi</t>
  </si>
  <si>
    <t>Faturalandırılmamış Yasal Kullanım Hacmi / Faturalandırılmış Yasal Kullanım Hacmi</t>
  </si>
  <si>
    <t>litre /servis bağlantı sayısı/gün</t>
  </si>
  <si>
    <t>litre /ana hat uzunluğu (km)/gün</t>
  </si>
  <si>
    <t>Birim Basınç Altında Serrvis Bağlantı Başına Fiziki Kayıp Hacmi</t>
  </si>
  <si>
    <t>litre /servis bağlantı sayısı/gün/basınç(m)</t>
  </si>
  <si>
    <t>Birim Basınç Altında Hat Uzunluğu (km) Başına Fiziki Kayıp Hacmi</t>
  </si>
  <si>
    <t>litre /ana hat uzunluğu (km) /gün/basınç(m)</t>
  </si>
  <si>
    <t>Şebeke ve Servis Bağlantı Sızıntı Hacmi</t>
  </si>
  <si>
    <t xml:space="preserve">Depolardaki Sızıntı Hacmi </t>
  </si>
  <si>
    <t>Kaçınılmaz Fiziki Kayıp Hacmi (UARL)</t>
  </si>
  <si>
    <t>litre/gün</t>
  </si>
  <si>
    <t>Altyapı Kaçak İndeksi (ILI)</t>
  </si>
  <si>
    <t>Yasadışı-Kaçak Kullanım Hacmi</t>
  </si>
  <si>
    <t>Sayaç Hatalarından Kaynaklanan Kayıp Hacmi</t>
  </si>
  <si>
    <t>Yasadışı-Kaçak Kullanım Hacmi / Faturalandırılmış Yasal Kullanım Hacmi</t>
  </si>
  <si>
    <t>Sayaç Hatalarından Kaynaklanan Kayıp Hacmi / Faturalandırılmış Yasal Kullanım Hacmi</t>
  </si>
  <si>
    <t>Açıklama</t>
  </si>
  <si>
    <t>TL/yıl</t>
  </si>
  <si>
    <t>Fiziki Kayıpların Maliyeti</t>
  </si>
  <si>
    <t>Su üretim birim maliyeti * fiziki kayıp hacmi</t>
  </si>
  <si>
    <t>İdari Kayıpların Maliyeti</t>
  </si>
  <si>
    <t>Suyun birim m3 için satış bedeli * idari kayıp hacmi</t>
  </si>
  <si>
    <t>Faturalandırılmamış Yasal Kullanımların Maliyeti</t>
  </si>
  <si>
    <t>Suyun birim m3 için satış bedeli * faturalandırılmamış yasal kullanım hacmi</t>
  </si>
  <si>
    <t>Sayaç Hatalarından Kaynaklanan Su Kayıplarının Maliyeti</t>
  </si>
  <si>
    <t>Suyun birim m3 için satış bedeli * sayaç hatalarından kaynaklanan kayıp hacmi</t>
  </si>
  <si>
    <t>Gelir Getirmeyen Suyun Toplam Maliyeti</t>
  </si>
  <si>
    <t>Fiziki kayıp maliyeti + İdari kayıp maliyeti+faturalandırılmamış yasal kullanım maliyeti</t>
  </si>
  <si>
    <t xml:space="preserve">İdari Kayıpların GGS Maliyetine Etkisi </t>
  </si>
  <si>
    <t>İdari kayıpların maliyeti / gelir getirmeyen suyun maliyeti*100</t>
  </si>
  <si>
    <t xml:space="preserve">Fiziki Kayıpların GGS Maliyetine Etkisi </t>
  </si>
  <si>
    <t>Fiziki kayıpların maliyeti / gelir getirmeyen suyun maliyeti*100</t>
  </si>
  <si>
    <t xml:space="preserve">Faturalandırılmamış Yasal Kullanımların GGS Maliyetine Etkisi </t>
  </si>
  <si>
    <t>Faturalandırılmamış yasal kullanım maliyeti / gelir getirmeyen suyun maliyeti*100</t>
  </si>
  <si>
    <t xml:space="preserve">Sayaç Hatalarından Kaynaklanan Kayıpların GGS Maliyetine Etkisi </t>
  </si>
  <si>
    <t>Sayaç hatalarından kaynaklanan kayıp maliyeti / gelir getirmeyen suyun maliyeti*100</t>
  </si>
  <si>
    <t>Su Kaynağı Verimliliği</t>
  </si>
  <si>
    <t>Fiziki Kayıp Hacmi / Sistem Giriş Hacmi / yıl</t>
  </si>
  <si>
    <t>Su Üretimi Oranı (Kişi Başı)</t>
  </si>
  <si>
    <t xml:space="preserve">Üretilen Su hacmi (litre)/ kişi / gün)  </t>
  </si>
  <si>
    <t>litre / kişi /gün</t>
  </si>
  <si>
    <t>Su Üretimi Oranı (Servis Bağlantı Başına)</t>
  </si>
  <si>
    <t>Su Tüketimi (Kişi Başı)</t>
  </si>
  <si>
    <t>Tüketilen Su hacmi (litre)  / kişi / gün</t>
  </si>
  <si>
    <t>Su Tüketimi (Servis Bağlantı Başına)</t>
  </si>
  <si>
    <t>Tüketilen Su hacmi (m3)  / bağlantı sayısı / yıl)</t>
  </si>
  <si>
    <t>Şebeke Toplam Arıza Oranı (Rapor Edilen + Edilmeyen)</t>
  </si>
  <si>
    <t xml:space="preserve">Şebeke Arıza Sayısı (Rapor edilen ve Edilmeyen) / Şebeke Uzunluğu (km) * 100 </t>
  </si>
  <si>
    <t>Servis Bağlantı Toplam Arıza Oranı (Rapor Edilen + Edilmeyen</t>
  </si>
  <si>
    <t>Arıza Sıklık İndeksi (Şebeke Hattı)</t>
  </si>
  <si>
    <t xml:space="preserve">Şebeke Arıza Sayısı (Rapor Edilen) / Şebeke Referans Arıza Sayısı </t>
  </si>
  <si>
    <t>Arıza Sıklık İndeksi Servis Bağlantıları)</t>
  </si>
  <si>
    <t xml:space="preserve">Servis Bağlantı Arıza Sayısı (Rapor Edilen) / Servis Bağlantı Referans Arıza Sayısı </t>
  </si>
  <si>
    <t xml:space="preserve">Şebeke Hattı Rehabilitasyon Oranı </t>
  </si>
  <si>
    <t>Rehabilitasyonu Yapılan Hat Uzunluğu (km) / Şebeke Uzunluğu (km) *100 / yıl</t>
  </si>
  <si>
    <t xml:space="preserve">Vana Değiştirme Oranı </t>
  </si>
  <si>
    <t>Değiştirilen Vana Sayısı / Toplam Vana Sayısı / yıl</t>
  </si>
  <si>
    <t xml:space="preserve">Servis Bağlantı Hattı Rehabilitasyon Oranı </t>
  </si>
  <si>
    <t>Rehabilitasyonu Yapılan Servis Bağlantı Sayısı / Toplam Servis Bağlantı Sayısı / yıl</t>
  </si>
  <si>
    <t>2577.73</t>
  </si>
  <si>
    <t>Birim Servis Bağlantı Başına Gelir Getirmeyen Su Hacmi</t>
  </si>
  <si>
    <t>Birim Servis Bağlantı Başına Fiziki Kayıp Hacmi</t>
  </si>
  <si>
    <t>Birim Servis Bağlantı Başına İdari Kayıp Hacmi</t>
  </si>
  <si>
    <t xml:space="preserve">Birim Servis Bağlantı Başına Faturalandırılmamış Yasal Kullanım Hacmi </t>
  </si>
  <si>
    <t>Birim Hat Uzunluğu Başına Gelir Getirmeyen Su Hacmi</t>
  </si>
  <si>
    <t>Birim Hat Uzunluğu Başına Fiziki Kayıp Hacmi</t>
  </si>
  <si>
    <t>Birim Hat Uzunluğu Başına İdari Kayıp Hacmi</t>
  </si>
  <si>
    <t xml:space="preserve">Birim Hat Uzunluğu Başına Faturalandırılmamış Yasal Kullanım Hacmi </t>
  </si>
  <si>
    <t>Üretilen Su hacmi (m3)  / Servis Bağlantı Sayısı / gün)</t>
  </si>
  <si>
    <t>İlgili Daire</t>
  </si>
  <si>
    <t>Parametreler</t>
  </si>
  <si>
    <t xml:space="preserve">Hacim Olarak GGS ve Alt Bileşenleri </t>
  </si>
  <si>
    <t xml:space="preserve">Yüzde (%) Olarak GGS ve Alt Bileşenleri </t>
  </si>
  <si>
    <t>% (Giriş Hacminin % si)</t>
  </si>
  <si>
    <t xml:space="preserve">Birim Servis Bağlantı Başına GGS ve Alt Bileşenleri </t>
  </si>
  <si>
    <t xml:space="preserve">Birim Hat Uzunluğu (km) Başına GGS ve Alt Bileşenleri </t>
  </si>
  <si>
    <t xml:space="preserve">Fiziki Kayıp Göstergeleri </t>
  </si>
  <si>
    <t xml:space="preserve">İdari Kayıp Göstergeleri </t>
  </si>
  <si>
    <r>
      <t>Gelir Getirmeyen Su Maliyet Göstergeleri</t>
    </r>
    <r>
      <rPr>
        <b/>
        <sz val="11"/>
        <color rgb="FFFF0000"/>
        <rFont val="Times New Roman"/>
        <family val="1"/>
        <charset val="162"/>
      </rPr>
      <t xml:space="preserve"> </t>
    </r>
  </si>
  <si>
    <t xml:space="preserve">Su Kaynağı ve Su Tüketimi Göstergeleri </t>
  </si>
  <si>
    <t xml:space="preserve"> Arıza Oranı Göstergeleri </t>
  </si>
  <si>
    <t xml:space="preserve">Şebeke Rehabilitasyon Göstergeleri </t>
  </si>
  <si>
    <t>Sayaç hatalarından kaynaklanan kayıplar</t>
  </si>
  <si>
    <t>Yasadışı-Kaçak Kullanım</t>
  </si>
  <si>
    <t xml:space="preserve">m </t>
  </si>
  <si>
    <t xml:space="preserve">Depolarda Meydana Gelen Kayıp Oranı </t>
  </si>
  <si>
    <t xml:space="preserve">Şebeke Arıza Sayısı (Rapor edilen ve Edilmeyen) / Şebeke Uzunluğu (100 km) </t>
  </si>
  <si>
    <t xml:space="preserve">Servis bağlantı arıza sayısı (Rapor edilen ve Edilmeyen) / Servis bağantı sayısı (1000 bağlantı) </t>
  </si>
  <si>
    <t>litre / servis bağlantı / gün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</si>
</sst>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##0.00"/>
    <numFmt numFmtId="167" formatCode="#,##0.00\ _₺"/>
    <numFmt numFmtId="168" formatCode="###0"/>
  </numFmts>
  <fonts count="13" x14ac:knownFonts="1">
    <font>
      <sz val="11"/>
      <color theme="1"/>
      <name val="Calibri"/>
      <family val="2"/>
      <charset val="162"/>
      <scheme val="minor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/>
    <xf numFmtId="1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6" fontId="3" fillId="0" borderId="0" xfId="0" applyNumberFormat="1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6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readingOrder="1"/>
    </xf>
    <xf numFmtId="2" fontId="5" fillId="2" borderId="1" xfId="0" applyNumberFormat="1" applyFont="1" applyFill="1" applyBorder="1" applyAlignment="1">
      <alignment horizontal="center" vertical="center" readingOrder="1"/>
    </xf>
    <xf numFmtId="3" fontId="10" fillId="2" borderId="1" xfId="0" applyNumberFormat="1" applyFont="1" applyFill="1" applyBorder="1" applyAlignment="1">
      <alignment horizontal="center" vertical="center" readingOrder="1"/>
    </xf>
    <xf numFmtId="4" fontId="10" fillId="2" borderId="1" xfId="0" applyNumberFormat="1" applyFont="1" applyFill="1" applyBorder="1" applyAlignment="1">
      <alignment horizontal="center" vertical="center" readingOrder="1"/>
    </xf>
    <xf numFmtId="3" fontId="5" fillId="2" borderId="1" xfId="0" applyNumberFormat="1" applyFont="1" applyFill="1" applyBorder="1" applyAlignment="1">
      <alignment horizontal="center" vertical="center" readingOrder="1"/>
    </xf>
    <xf numFmtId="0" fontId="10" fillId="2" borderId="1" xfId="0" applyFont="1" applyFill="1" applyBorder="1" applyAlignment="1">
      <alignment horizontal="center" vertical="center" readingOrder="1"/>
    </xf>
    <xf numFmtId="4" fontId="5" fillId="2" borderId="1" xfId="0" applyNumberFormat="1" applyFont="1" applyFill="1" applyBorder="1" applyAlignment="1">
      <alignment horizontal="center" vertical="center" readingOrder="1"/>
    </xf>
    <xf numFmtId="3" fontId="10" fillId="3" borderId="1" xfId="0" applyNumberFormat="1" applyFont="1" applyFill="1" applyBorder="1" applyAlignment="1">
      <alignment horizontal="center" vertical="center" readingOrder="1"/>
    </xf>
    <xf numFmtId="3" fontId="5" fillId="3" borderId="1" xfId="0" applyNumberFormat="1" applyFont="1" applyFill="1" applyBorder="1" applyAlignment="1">
      <alignment horizontal="center" vertical="center" readingOrder="1"/>
    </xf>
    <xf numFmtId="3" fontId="3" fillId="0" borderId="2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/>
    <xf numFmtId="3" fontId="5" fillId="3" borderId="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0"/>
  <sheetViews>
    <sheetView topLeftCell="A2" zoomScale="70" zoomScaleNormal="70" workbookViewId="0">
      <selection activeCell="B27" sqref="B27"/>
    </sheetView>
  </sheetViews>
  <sheetFormatPr defaultRowHeight="14" x14ac:dyDescent="0.3"/>
  <cols>
    <col min="1" max="1" width="2.6328125" style="1" customWidth="1"/>
    <col min="2" max="2" width="77.90625" style="1" bestFit="1" customWidth="1"/>
    <col min="3" max="3" width="23.81640625" style="1" customWidth="1"/>
    <col min="4" max="4" width="12.36328125" style="1" bestFit="1" customWidth="1"/>
    <col min="5" max="5" width="15.36328125" style="1" bestFit="1" customWidth="1"/>
    <col min="6" max="7" width="12.36328125" style="1" bestFit="1" customWidth="1"/>
    <col min="8" max="8" width="14.08984375" style="1" bestFit="1" customWidth="1"/>
    <col min="9" max="9" width="31.36328125" style="1" customWidth="1"/>
    <col min="10" max="10" width="23.54296875" style="1" customWidth="1"/>
    <col min="11" max="188" width="8.6328125" style="1"/>
    <col min="189" max="189" width="50.6328125" style="1" customWidth="1"/>
    <col min="190" max="190" width="15.6328125" style="1" customWidth="1"/>
    <col min="191" max="191" width="8.6328125" style="1"/>
    <col min="192" max="192" width="9.6328125" style="1" customWidth="1"/>
    <col min="193" max="193" width="35.6328125" style="1" customWidth="1"/>
    <col min="194" max="195" width="15.6328125" style="1" customWidth="1"/>
    <col min="196" max="444" width="8.6328125" style="1"/>
    <col min="445" max="445" width="50.6328125" style="1" customWidth="1"/>
    <col min="446" max="446" width="15.6328125" style="1" customWidth="1"/>
    <col min="447" max="447" width="8.6328125" style="1"/>
    <col min="448" max="448" width="9.6328125" style="1" customWidth="1"/>
    <col min="449" max="449" width="35.6328125" style="1" customWidth="1"/>
    <col min="450" max="451" width="15.6328125" style="1" customWidth="1"/>
    <col min="452" max="700" width="8.6328125" style="1"/>
    <col min="701" max="701" width="50.6328125" style="1" customWidth="1"/>
    <col min="702" max="702" width="15.6328125" style="1" customWidth="1"/>
    <col min="703" max="703" width="8.6328125" style="1"/>
    <col min="704" max="704" width="9.6328125" style="1" customWidth="1"/>
    <col min="705" max="705" width="35.6328125" style="1" customWidth="1"/>
    <col min="706" max="707" width="15.6328125" style="1" customWidth="1"/>
    <col min="708" max="956" width="8.6328125" style="1"/>
    <col min="957" max="957" width="50.6328125" style="1" customWidth="1"/>
    <col min="958" max="958" width="15.6328125" style="1" customWidth="1"/>
    <col min="959" max="959" width="8.6328125" style="1"/>
    <col min="960" max="960" width="9.6328125" style="1" customWidth="1"/>
    <col min="961" max="961" width="35.6328125" style="1" customWidth="1"/>
    <col min="962" max="963" width="15.6328125" style="1" customWidth="1"/>
    <col min="964" max="1212" width="8.6328125" style="1"/>
    <col min="1213" max="1213" width="50.6328125" style="1" customWidth="1"/>
    <col min="1214" max="1214" width="15.6328125" style="1" customWidth="1"/>
    <col min="1215" max="1215" width="8.6328125" style="1"/>
    <col min="1216" max="1216" width="9.6328125" style="1" customWidth="1"/>
    <col min="1217" max="1217" width="35.6328125" style="1" customWidth="1"/>
    <col min="1218" max="1219" width="15.6328125" style="1" customWidth="1"/>
    <col min="1220" max="1468" width="8.6328125" style="1"/>
    <col min="1469" max="1469" width="50.6328125" style="1" customWidth="1"/>
    <col min="1470" max="1470" width="15.6328125" style="1" customWidth="1"/>
    <col min="1471" max="1471" width="8.6328125" style="1"/>
    <col min="1472" max="1472" width="9.6328125" style="1" customWidth="1"/>
    <col min="1473" max="1473" width="35.6328125" style="1" customWidth="1"/>
    <col min="1474" max="1475" width="15.6328125" style="1" customWidth="1"/>
    <col min="1476" max="1724" width="8.6328125" style="1"/>
    <col min="1725" max="1725" width="50.6328125" style="1" customWidth="1"/>
    <col min="1726" max="1726" width="15.6328125" style="1" customWidth="1"/>
    <col min="1727" max="1727" width="8.6328125" style="1"/>
    <col min="1728" max="1728" width="9.6328125" style="1" customWidth="1"/>
    <col min="1729" max="1729" width="35.6328125" style="1" customWidth="1"/>
    <col min="1730" max="1731" width="15.6328125" style="1" customWidth="1"/>
    <col min="1732" max="1980" width="8.6328125" style="1"/>
    <col min="1981" max="1981" width="50.6328125" style="1" customWidth="1"/>
    <col min="1982" max="1982" width="15.6328125" style="1" customWidth="1"/>
    <col min="1983" max="1983" width="8.6328125" style="1"/>
    <col min="1984" max="1984" width="9.6328125" style="1" customWidth="1"/>
    <col min="1985" max="1985" width="35.6328125" style="1" customWidth="1"/>
    <col min="1986" max="1987" width="15.6328125" style="1" customWidth="1"/>
    <col min="1988" max="2236" width="8.6328125" style="1"/>
    <col min="2237" max="2237" width="50.6328125" style="1" customWidth="1"/>
    <col min="2238" max="2238" width="15.6328125" style="1" customWidth="1"/>
    <col min="2239" max="2239" width="8.6328125" style="1"/>
    <col min="2240" max="2240" width="9.6328125" style="1" customWidth="1"/>
    <col min="2241" max="2241" width="35.6328125" style="1" customWidth="1"/>
    <col min="2242" max="2243" width="15.6328125" style="1" customWidth="1"/>
    <col min="2244" max="2492" width="8.6328125" style="1"/>
    <col min="2493" max="2493" width="50.6328125" style="1" customWidth="1"/>
    <col min="2494" max="2494" width="15.6328125" style="1" customWidth="1"/>
    <col min="2495" max="2495" width="8.6328125" style="1"/>
    <col min="2496" max="2496" width="9.6328125" style="1" customWidth="1"/>
    <col min="2497" max="2497" width="35.6328125" style="1" customWidth="1"/>
    <col min="2498" max="2499" width="15.6328125" style="1" customWidth="1"/>
    <col min="2500" max="2748" width="8.6328125" style="1"/>
    <col min="2749" max="2749" width="50.6328125" style="1" customWidth="1"/>
    <col min="2750" max="2750" width="15.6328125" style="1" customWidth="1"/>
    <col min="2751" max="2751" width="8.6328125" style="1"/>
    <col min="2752" max="2752" width="9.6328125" style="1" customWidth="1"/>
    <col min="2753" max="2753" width="35.6328125" style="1" customWidth="1"/>
    <col min="2754" max="2755" width="15.6328125" style="1" customWidth="1"/>
    <col min="2756" max="3004" width="8.6328125" style="1"/>
    <col min="3005" max="3005" width="50.6328125" style="1" customWidth="1"/>
    <col min="3006" max="3006" width="15.6328125" style="1" customWidth="1"/>
    <col min="3007" max="3007" width="8.6328125" style="1"/>
    <col min="3008" max="3008" width="9.6328125" style="1" customWidth="1"/>
    <col min="3009" max="3009" width="35.6328125" style="1" customWidth="1"/>
    <col min="3010" max="3011" width="15.6328125" style="1" customWidth="1"/>
    <col min="3012" max="3260" width="8.6328125" style="1"/>
    <col min="3261" max="3261" width="50.6328125" style="1" customWidth="1"/>
    <col min="3262" max="3262" width="15.6328125" style="1" customWidth="1"/>
    <col min="3263" max="3263" width="8.6328125" style="1"/>
    <col min="3264" max="3264" width="9.6328125" style="1" customWidth="1"/>
    <col min="3265" max="3265" width="35.6328125" style="1" customWidth="1"/>
    <col min="3266" max="3267" width="15.6328125" style="1" customWidth="1"/>
    <col min="3268" max="3516" width="8.6328125" style="1"/>
    <col min="3517" max="3517" width="50.6328125" style="1" customWidth="1"/>
    <col min="3518" max="3518" width="15.6328125" style="1" customWidth="1"/>
    <col min="3519" max="3519" width="8.6328125" style="1"/>
    <col min="3520" max="3520" width="9.6328125" style="1" customWidth="1"/>
    <col min="3521" max="3521" width="35.6328125" style="1" customWidth="1"/>
    <col min="3522" max="3523" width="15.6328125" style="1" customWidth="1"/>
    <col min="3524" max="3772" width="8.6328125" style="1"/>
    <col min="3773" max="3773" width="50.6328125" style="1" customWidth="1"/>
    <col min="3774" max="3774" width="15.6328125" style="1" customWidth="1"/>
    <col min="3775" max="3775" width="8.6328125" style="1"/>
    <col min="3776" max="3776" width="9.6328125" style="1" customWidth="1"/>
    <col min="3777" max="3777" width="35.6328125" style="1" customWidth="1"/>
    <col min="3778" max="3779" width="15.6328125" style="1" customWidth="1"/>
    <col min="3780" max="4028" width="8.6328125" style="1"/>
    <col min="4029" max="4029" width="50.6328125" style="1" customWidth="1"/>
    <col min="4030" max="4030" width="15.6328125" style="1" customWidth="1"/>
    <col min="4031" max="4031" width="8.6328125" style="1"/>
    <col min="4032" max="4032" width="9.6328125" style="1" customWidth="1"/>
    <col min="4033" max="4033" width="35.6328125" style="1" customWidth="1"/>
    <col min="4034" max="4035" width="15.6328125" style="1" customWidth="1"/>
    <col min="4036" max="4284" width="8.6328125" style="1"/>
    <col min="4285" max="4285" width="50.6328125" style="1" customWidth="1"/>
    <col min="4286" max="4286" width="15.6328125" style="1" customWidth="1"/>
    <col min="4287" max="4287" width="8.6328125" style="1"/>
    <col min="4288" max="4288" width="9.6328125" style="1" customWidth="1"/>
    <col min="4289" max="4289" width="35.6328125" style="1" customWidth="1"/>
    <col min="4290" max="4291" width="15.6328125" style="1" customWidth="1"/>
    <col min="4292" max="4540" width="8.6328125" style="1"/>
    <col min="4541" max="4541" width="50.6328125" style="1" customWidth="1"/>
    <col min="4542" max="4542" width="15.6328125" style="1" customWidth="1"/>
    <col min="4543" max="4543" width="8.6328125" style="1"/>
    <col min="4544" max="4544" width="9.6328125" style="1" customWidth="1"/>
    <col min="4545" max="4545" width="35.6328125" style="1" customWidth="1"/>
    <col min="4546" max="4547" width="15.6328125" style="1" customWidth="1"/>
    <col min="4548" max="4796" width="8.6328125" style="1"/>
    <col min="4797" max="4797" width="50.6328125" style="1" customWidth="1"/>
    <col min="4798" max="4798" width="15.6328125" style="1" customWidth="1"/>
    <col min="4799" max="4799" width="8.6328125" style="1"/>
    <col min="4800" max="4800" width="9.6328125" style="1" customWidth="1"/>
    <col min="4801" max="4801" width="35.6328125" style="1" customWidth="1"/>
    <col min="4802" max="4803" width="15.6328125" style="1" customWidth="1"/>
    <col min="4804" max="5052" width="8.6328125" style="1"/>
    <col min="5053" max="5053" width="50.6328125" style="1" customWidth="1"/>
    <col min="5054" max="5054" width="15.6328125" style="1" customWidth="1"/>
    <col min="5055" max="5055" width="8.6328125" style="1"/>
    <col min="5056" max="5056" width="9.6328125" style="1" customWidth="1"/>
    <col min="5057" max="5057" width="35.6328125" style="1" customWidth="1"/>
    <col min="5058" max="5059" width="15.6328125" style="1" customWidth="1"/>
    <col min="5060" max="5308" width="8.6328125" style="1"/>
    <col min="5309" max="5309" width="50.6328125" style="1" customWidth="1"/>
    <col min="5310" max="5310" width="15.6328125" style="1" customWidth="1"/>
    <col min="5311" max="5311" width="8.6328125" style="1"/>
    <col min="5312" max="5312" width="9.6328125" style="1" customWidth="1"/>
    <col min="5313" max="5313" width="35.6328125" style="1" customWidth="1"/>
    <col min="5314" max="5315" width="15.6328125" style="1" customWidth="1"/>
    <col min="5316" max="5564" width="8.6328125" style="1"/>
    <col min="5565" max="5565" width="50.6328125" style="1" customWidth="1"/>
    <col min="5566" max="5566" width="15.6328125" style="1" customWidth="1"/>
    <col min="5567" max="5567" width="8.6328125" style="1"/>
    <col min="5568" max="5568" width="9.6328125" style="1" customWidth="1"/>
    <col min="5569" max="5569" width="35.6328125" style="1" customWidth="1"/>
    <col min="5570" max="5571" width="15.6328125" style="1" customWidth="1"/>
    <col min="5572" max="5820" width="8.6328125" style="1"/>
    <col min="5821" max="5821" width="50.6328125" style="1" customWidth="1"/>
    <col min="5822" max="5822" width="15.6328125" style="1" customWidth="1"/>
    <col min="5823" max="5823" width="8.6328125" style="1"/>
    <col min="5824" max="5824" width="9.6328125" style="1" customWidth="1"/>
    <col min="5825" max="5825" width="35.6328125" style="1" customWidth="1"/>
    <col min="5826" max="5827" width="15.6328125" style="1" customWidth="1"/>
    <col min="5828" max="6076" width="8.6328125" style="1"/>
    <col min="6077" max="6077" width="50.6328125" style="1" customWidth="1"/>
    <col min="6078" max="6078" width="15.6328125" style="1" customWidth="1"/>
    <col min="6079" max="6079" width="8.6328125" style="1"/>
    <col min="6080" max="6080" width="9.6328125" style="1" customWidth="1"/>
    <col min="6081" max="6081" width="35.6328125" style="1" customWidth="1"/>
    <col min="6082" max="6083" width="15.6328125" style="1" customWidth="1"/>
    <col min="6084" max="6332" width="8.6328125" style="1"/>
    <col min="6333" max="6333" width="50.6328125" style="1" customWidth="1"/>
    <col min="6334" max="6334" width="15.6328125" style="1" customWidth="1"/>
    <col min="6335" max="6335" width="8.6328125" style="1"/>
    <col min="6336" max="6336" width="9.6328125" style="1" customWidth="1"/>
    <col min="6337" max="6337" width="35.6328125" style="1" customWidth="1"/>
    <col min="6338" max="6339" width="15.6328125" style="1" customWidth="1"/>
    <col min="6340" max="6588" width="8.6328125" style="1"/>
    <col min="6589" max="6589" width="50.6328125" style="1" customWidth="1"/>
    <col min="6590" max="6590" width="15.6328125" style="1" customWidth="1"/>
    <col min="6591" max="6591" width="8.6328125" style="1"/>
    <col min="6592" max="6592" width="9.6328125" style="1" customWidth="1"/>
    <col min="6593" max="6593" width="35.6328125" style="1" customWidth="1"/>
    <col min="6594" max="6595" width="15.6328125" style="1" customWidth="1"/>
    <col min="6596" max="6844" width="8.6328125" style="1"/>
    <col min="6845" max="6845" width="50.6328125" style="1" customWidth="1"/>
    <col min="6846" max="6846" width="15.6328125" style="1" customWidth="1"/>
    <col min="6847" max="6847" width="8.6328125" style="1"/>
    <col min="6848" max="6848" width="9.6328125" style="1" customWidth="1"/>
    <col min="6849" max="6849" width="35.6328125" style="1" customWidth="1"/>
    <col min="6850" max="6851" width="15.6328125" style="1" customWidth="1"/>
    <col min="6852" max="7100" width="8.6328125" style="1"/>
    <col min="7101" max="7101" width="50.6328125" style="1" customWidth="1"/>
    <col min="7102" max="7102" width="15.6328125" style="1" customWidth="1"/>
    <col min="7103" max="7103" width="8.6328125" style="1"/>
    <col min="7104" max="7104" width="9.6328125" style="1" customWidth="1"/>
    <col min="7105" max="7105" width="35.6328125" style="1" customWidth="1"/>
    <col min="7106" max="7107" width="15.6328125" style="1" customWidth="1"/>
    <col min="7108" max="7356" width="8.6328125" style="1"/>
    <col min="7357" max="7357" width="50.6328125" style="1" customWidth="1"/>
    <col min="7358" max="7358" width="15.6328125" style="1" customWidth="1"/>
    <col min="7359" max="7359" width="8.6328125" style="1"/>
    <col min="7360" max="7360" width="9.6328125" style="1" customWidth="1"/>
    <col min="7361" max="7361" width="35.6328125" style="1" customWidth="1"/>
    <col min="7362" max="7363" width="15.6328125" style="1" customWidth="1"/>
    <col min="7364" max="7612" width="8.6328125" style="1"/>
    <col min="7613" max="7613" width="50.6328125" style="1" customWidth="1"/>
    <col min="7614" max="7614" width="15.6328125" style="1" customWidth="1"/>
    <col min="7615" max="7615" width="8.6328125" style="1"/>
    <col min="7616" max="7616" width="9.6328125" style="1" customWidth="1"/>
    <col min="7617" max="7617" width="35.6328125" style="1" customWidth="1"/>
    <col min="7618" max="7619" width="15.6328125" style="1" customWidth="1"/>
    <col min="7620" max="7868" width="8.6328125" style="1"/>
    <col min="7869" max="7869" width="50.6328125" style="1" customWidth="1"/>
    <col min="7870" max="7870" width="15.6328125" style="1" customWidth="1"/>
    <col min="7871" max="7871" width="8.6328125" style="1"/>
    <col min="7872" max="7872" width="9.6328125" style="1" customWidth="1"/>
    <col min="7873" max="7873" width="35.6328125" style="1" customWidth="1"/>
    <col min="7874" max="7875" width="15.6328125" style="1" customWidth="1"/>
    <col min="7876" max="8124" width="8.6328125" style="1"/>
    <col min="8125" max="8125" width="50.6328125" style="1" customWidth="1"/>
    <col min="8126" max="8126" width="15.6328125" style="1" customWidth="1"/>
    <col min="8127" max="8127" width="8.6328125" style="1"/>
    <col min="8128" max="8128" width="9.6328125" style="1" customWidth="1"/>
    <col min="8129" max="8129" width="35.6328125" style="1" customWidth="1"/>
    <col min="8130" max="8131" width="15.6328125" style="1" customWidth="1"/>
    <col min="8132" max="8380" width="8.6328125" style="1"/>
    <col min="8381" max="8381" width="50.6328125" style="1" customWidth="1"/>
    <col min="8382" max="8382" width="15.6328125" style="1" customWidth="1"/>
    <col min="8383" max="8383" width="8.6328125" style="1"/>
    <col min="8384" max="8384" width="9.6328125" style="1" customWidth="1"/>
    <col min="8385" max="8385" width="35.6328125" style="1" customWidth="1"/>
    <col min="8386" max="8387" width="15.6328125" style="1" customWidth="1"/>
    <col min="8388" max="8636" width="8.6328125" style="1"/>
    <col min="8637" max="8637" width="50.6328125" style="1" customWidth="1"/>
    <col min="8638" max="8638" width="15.6328125" style="1" customWidth="1"/>
    <col min="8639" max="8639" width="8.6328125" style="1"/>
    <col min="8640" max="8640" width="9.6328125" style="1" customWidth="1"/>
    <col min="8641" max="8641" width="35.6328125" style="1" customWidth="1"/>
    <col min="8642" max="8643" width="15.6328125" style="1" customWidth="1"/>
    <col min="8644" max="8892" width="8.6328125" style="1"/>
    <col min="8893" max="8893" width="50.6328125" style="1" customWidth="1"/>
    <col min="8894" max="8894" width="15.6328125" style="1" customWidth="1"/>
    <col min="8895" max="8895" width="8.6328125" style="1"/>
    <col min="8896" max="8896" width="9.6328125" style="1" customWidth="1"/>
    <col min="8897" max="8897" width="35.6328125" style="1" customWidth="1"/>
    <col min="8898" max="8899" width="15.6328125" style="1" customWidth="1"/>
    <col min="8900" max="9148" width="8.6328125" style="1"/>
    <col min="9149" max="9149" width="50.6328125" style="1" customWidth="1"/>
    <col min="9150" max="9150" width="15.6328125" style="1" customWidth="1"/>
    <col min="9151" max="9151" width="8.6328125" style="1"/>
    <col min="9152" max="9152" width="9.6328125" style="1" customWidth="1"/>
    <col min="9153" max="9153" width="35.6328125" style="1" customWidth="1"/>
    <col min="9154" max="9155" width="15.6328125" style="1" customWidth="1"/>
    <col min="9156" max="9404" width="8.6328125" style="1"/>
    <col min="9405" max="9405" width="50.6328125" style="1" customWidth="1"/>
    <col min="9406" max="9406" width="15.6328125" style="1" customWidth="1"/>
    <col min="9407" max="9407" width="8.6328125" style="1"/>
    <col min="9408" max="9408" width="9.6328125" style="1" customWidth="1"/>
    <col min="9409" max="9409" width="35.6328125" style="1" customWidth="1"/>
    <col min="9410" max="9411" width="15.6328125" style="1" customWidth="1"/>
    <col min="9412" max="9660" width="8.6328125" style="1"/>
    <col min="9661" max="9661" width="50.6328125" style="1" customWidth="1"/>
    <col min="9662" max="9662" width="15.6328125" style="1" customWidth="1"/>
    <col min="9663" max="9663" width="8.6328125" style="1"/>
    <col min="9664" max="9664" width="9.6328125" style="1" customWidth="1"/>
    <col min="9665" max="9665" width="35.6328125" style="1" customWidth="1"/>
    <col min="9666" max="9667" width="15.6328125" style="1" customWidth="1"/>
    <col min="9668" max="9916" width="8.6328125" style="1"/>
    <col min="9917" max="9917" width="50.6328125" style="1" customWidth="1"/>
    <col min="9918" max="9918" width="15.6328125" style="1" customWidth="1"/>
    <col min="9919" max="9919" width="8.6328125" style="1"/>
    <col min="9920" max="9920" width="9.6328125" style="1" customWidth="1"/>
    <col min="9921" max="9921" width="35.6328125" style="1" customWidth="1"/>
    <col min="9922" max="9923" width="15.6328125" style="1" customWidth="1"/>
    <col min="9924" max="10172" width="8.6328125" style="1"/>
    <col min="10173" max="10173" width="50.6328125" style="1" customWidth="1"/>
    <col min="10174" max="10174" width="15.6328125" style="1" customWidth="1"/>
    <col min="10175" max="10175" width="8.6328125" style="1"/>
    <col min="10176" max="10176" width="9.6328125" style="1" customWidth="1"/>
    <col min="10177" max="10177" width="35.6328125" style="1" customWidth="1"/>
    <col min="10178" max="10179" width="15.6328125" style="1" customWidth="1"/>
    <col min="10180" max="10428" width="8.6328125" style="1"/>
    <col min="10429" max="10429" width="50.6328125" style="1" customWidth="1"/>
    <col min="10430" max="10430" width="15.6328125" style="1" customWidth="1"/>
    <col min="10431" max="10431" width="8.6328125" style="1"/>
    <col min="10432" max="10432" width="9.6328125" style="1" customWidth="1"/>
    <col min="10433" max="10433" width="35.6328125" style="1" customWidth="1"/>
    <col min="10434" max="10435" width="15.6328125" style="1" customWidth="1"/>
    <col min="10436" max="10684" width="8.6328125" style="1"/>
    <col min="10685" max="10685" width="50.6328125" style="1" customWidth="1"/>
    <col min="10686" max="10686" width="15.6328125" style="1" customWidth="1"/>
    <col min="10687" max="10687" width="8.6328125" style="1"/>
    <col min="10688" max="10688" width="9.6328125" style="1" customWidth="1"/>
    <col min="10689" max="10689" width="35.6328125" style="1" customWidth="1"/>
    <col min="10690" max="10691" width="15.6328125" style="1" customWidth="1"/>
    <col min="10692" max="10940" width="8.6328125" style="1"/>
    <col min="10941" max="10941" width="50.6328125" style="1" customWidth="1"/>
    <col min="10942" max="10942" width="15.6328125" style="1" customWidth="1"/>
    <col min="10943" max="10943" width="8.6328125" style="1"/>
    <col min="10944" max="10944" width="9.6328125" style="1" customWidth="1"/>
    <col min="10945" max="10945" width="35.6328125" style="1" customWidth="1"/>
    <col min="10946" max="10947" width="15.6328125" style="1" customWidth="1"/>
    <col min="10948" max="11196" width="8.6328125" style="1"/>
    <col min="11197" max="11197" width="50.6328125" style="1" customWidth="1"/>
    <col min="11198" max="11198" width="15.6328125" style="1" customWidth="1"/>
    <col min="11199" max="11199" width="8.6328125" style="1"/>
    <col min="11200" max="11200" width="9.6328125" style="1" customWidth="1"/>
    <col min="11201" max="11201" width="35.6328125" style="1" customWidth="1"/>
    <col min="11202" max="11203" width="15.6328125" style="1" customWidth="1"/>
    <col min="11204" max="11452" width="8.6328125" style="1"/>
    <col min="11453" max="11453" width="50.6328125" style="1" customWidth="1"/>
    <col min="11454" max="11454" width="15.6328125" style="1" customWidth="1"/>
    <col min="11455" max="11455" width="8.6328125" style="1"/>
    <col min="11456" max="11456" width="9.6328125" style="1" customWidth="1"/>
    <col min="11457" max="11457" width="35.6328125" style="1" customWidth="1"/>
    <col min="11458" max="11459" width="15.6328125" style="1" customWidth="1"/>
    <col min="11460" max="11708" width="8.6328125" style="1"/>
    <col min="11709" max="11709" width="50.6328125" style="1" customWidth="1"/>
    <col min="11710" max="11710" width="15.6328125" style="1" customWidth="1"/>
    <col min="11711" max="11711" width="8.6328125" style="1"/>
    <col min="11712" max="11712" width="9.6328125" style="1" customWidth="1"/>
    <col min="11713" max="11713" width="35.6328125" style="1" customWidth="1"/>
    <col min="11714" max="11715" width="15.6328125" style="1" customWidth="1"/>
    <col min="11716" max="11964" width="8.6328125" style="1"/>
    <col min="11965" max="11965" width="50.6328125" style="1" customWidth="1"/>
    <col min="11966" max="11966" width="15.6328125" style="1" customWidth="1"/>
    <col min="11967" max="11967" width="8.6328125" style="1"/>
    <col min="11968" max="11968" width="9.6328125" style="1" customWidth="1"/>
    <col min="11969" max="11969" width="35.6328125" style="1" customWidth="1"/>
    <col min="11970" max="11971" width="15.6328125" style="1" customWidth="1"/>
    <col min="11972" max="12220" width="8.6328125" style="1"/>
    <col min="12221" max="12221" width="50.6328125" style="1" customWidth="1"/>
    <col min="12222" max="12222" width="15.6328125" style="1" customWidth="1"/>
    <col min="12223" max="12223" width="8.6328125" style="1"/>
    <col min="12224" max="12224" width="9.6328125" style="1" customWidth="1"/>
    <col min="12225" max="12225" width="35.6328125" style="1" customWidth="1"/>
    <col min="12226" max="12227" width="15.6328125" style="1" customWidth="1"/>
    <col min="12228" max="12476" width="8.6328125" style="1"/>
    <col min="12477" max="12477" width="50.6328125" style="1" customWidth="1"/>
    <col min="12478" max="12478" width="15.6328125" style="1" customWidth="1"/>
    <col min="12479" max="12479" width="8.6328125" style="1"/>
    <col min="12480" max="12480" width="9.6328125" style="1" customWidth="1"/>
    <col min="12481" max="12481" width="35.6328125" style="1" customWidth="1"/>
    <col min="12482" max="12483" width="15.6328125" style="1" customWidth="1"/>
    <col min="12484" max="12732" width="8.6328125" style="1"/>
    <col min="12733" max="12733" width="50.6328125" style="1" customWidth="1"/>
    <col min="12734" max="12734" width="15.6328125" style="1" customWidth="1"/>
    <col min="12735" max="12735" width="8.6328125" style="1"/>
    <col min="12736" max="12736" width="9.6328125" style="1" customWidth="1"/>
    <col min="12737" max="12737" width="35.6328125" style="1" customWidth="1"/>
    <col min="12738" max="12739" width="15.6328125" style="1" customWidth="1"/>
    <col min="12740" max="12988" width="8.6328125" style="1"/>
    <col min="12989" max="12989" width="50.6328125" style="1" customWidth="1"/>
    <col min="12990" max="12990" width="15.6328125" style="1" customWidth="1"/>
    <col min="12991" max="12991" width="8.6328125" style="1"/>
    <col min="12992" max="12992" width="9.6328125" style="1" customWidth="1"/>
    <col min="12993" max="12993" width="35.6328125" style="1" customWidth="1"/>
    <col min="12994" max="12995" width="15.6328125" style="1" customWidth="1"/>
    <col min="12996" max="13244" width="8.6328125" style="1"/>
    <col min="13245" max="13245" width="50.6328125" style="1" customWidth="1"/>
    <col min="13246" max="13246" width="15.6328125" style="1" customWidth="1"/>
    <col min="13247" max="13247" width="8.6328125" style="1"/>
    <col min="13248" max="13248" width="9.6328125" style="1" customWidth="1"/>
    <col min="13249" max="13249" width="35.6328125" style="1" customWidth="1"/>
    <col min="13250" max="13251" width="15.6328125" style="1" customWidth="1"/>
    <col min="13252" max="13500" width="8.6328125" style="1"/>
    <col min="13501" max="13501" width="50.6328125" style="1" customWidth="1"/>
    <col min="13502" max="13502" width="15.6328125" style="1" customWidth="1"/>
    <col min="13503" max="13503" width="8.6328125" style="1"/>
    <col min="13504" max="13504" width="9.6328125" style="1" customWidth="1"/>
    <col min="13505" max="13505" width="35.6328125" style="1" customWidth="1"/>
    <col min="13506" max="13507" width="15.6328125" style="1" customWidth="1"/>
    <col min="13508" max="13756" width="8.6328125" style="1"/>
    <col min="13757" max="13757" width="50.6328125" style="1" customWidth="1"/>
    <col min="13758" max="13758" width="15.6328125" style="1" customWidth="1"/>
    <col min="13759" max="13759" width="8.6328125" style="1"/>
    <col min="13760" max="13760" width="9.6328125" style="1" customWidth="1"/>
    <col min="13761" max="13761" width="35.6328125" style="1" customWidth="1"/>
    <col min="13762" max="13763" width="15.6328125" style="1" customWidth="1"/>
    <col min="13764" max="14012" width="8.6328125" style="1"/>
    <col min="14013" max="14013" width="50.6328125" style="1" customWidth="1"/>
    <col min="14014" max="14014" width="15.6328125" style="1" customWidth="1"/>
    <col min="14015" max="14015" width="8.6328125" style="1"/>
    <col min="14016" max="14016" width="9.6328125" style="1" customWidth="1"/>
    <col min="14017" max="14017" width="35.6328125" style="1" customWidth="1"/>
    <col min="14018" max="14019" width="15.6328125" style="1" customWidth="1"/>
    <col min="14020" max="14268" width="8.6328125" style="1"/>
    <col min="14269" max="14269" width="50.6328125" style="1" customWidth="1"/>
    <col min="14270" max="14270" width="15.6328125" style="1" customWidth="1"/>
    <col min="14271" max="14271" width="8.6328125" style="1"/>
    <col min="14272" max="14272" width="9.6328125" style="1" customWidth="1"/>
    <col min="14273" max="14273" width="35.6328125" style="1" customWidth="1"/>
    <col min="14274" max="14275" width="15.6328125" style="1" customWidth="1"/>
    <col min="14276" max="14524" width="8.6328125" style="1"/>
    <col min="14525" max="14525" width="50.6328125" style="1" customWidth="1"/>
    <col min="14526" max="14526" width="15.6328125" style="1" customWidth="1"/>
    <col min="14527" max="14527" width="8.6328125" style="1"/>
    <col min="14528" max="14528" width="9.6328125" style="1" customWidth="1"/>
    <col min="14529" max="14529" width="35.6328125" style="1" customWidth="1"/>
    <col min="14530" max="14531" width="15.6328125" style="1" customWidth="1"/>
    <col min="14532" max="14780" width="8.6328125" style="1"/>
    <col min="14781" max="14781" width="50.6328125" style="1" customWidth="1"/>
    <col min="14782" max="14782" width="15.6328125" style="1" customWidth="1"/>
    <col min="14783" max="14783" width="8.6328125" style="1"/>
    <col min="14784" max="14784" width="9.6328125" style="1" customWidth="1"/>
    <col min="14785" max="14785" width="35.6328125" style="1" customWidth="1"/>
    <col min="14786" max="14787" width="15.6328125" style="1" customWidth="1"/>
    <col min="14788" max="15036" width="8.6328125" style="1"/>
    <col min="15037" max="15037" width="50.6328125" style="1" customWidth="1"/>
    <col min="15038" max="15038" width="15.6328125" style="1" customWidth="1"/>
    <col min="15039" max="15039" width="8.6328125" style="1"/>
    <col min="15040" max="15040" width="9.6328125" style="1" customWidth="1"/>
    <col min="15041" max="15041" width="35.6328125" style="1" customWidth="1"/>
    <col min="15042" max="15043" width="15.6328125" style="1" customWidth="1"/>
    <col min="15044" max="15292" width="8.6328125" style="1"/>
    <col min="15293" max="15293" width="50.6328125" style="1" customWidth="1"/>
    <col min="15294" max="15294" width="15.6328125" style="1" customWidth="1"/>
    <col min="15295" max="15295" width="8.6328125" style="1"/>
    <col min="15296" max="15296" width="9.6328125" style="1" customWidth="1"/>
    <col min="15297" max="15297" width="35.6328125" style="1" customWidth="1"/>
    <col min="15298" max="15299" width="15.6328125" style="1" customWidth="1"/>
    <col min="15300" max="15548" width="8.6328125" style="1"/>
    <col min="15549" max="15549" width="50.6328125" style="1" customWidth="1"/>
    <col min="15550" max="15550" width="15.6328125" style="1" customWidth="1"/>
    <col min="15551" max="15551" width="8.6328125" style="1"/>
    <col min="15552" max="15552" width="9.6328125" style="1" customWidth="1"/>
    <col min="15553" max="15553" width="35.6328125" style="1" customWidth="1"/>
    <col min="15554" max="15555" width="15.6328125" style="1" customWidth="1"/>
    <col min="15556" max="15804" width="8.6328125" style="1"/>
    <col min="15805" max="15805" width="50.6328125" style="1" customWidth="1"/>
    <col min="15806" max="15806" width="15.6328125" style="1" customWidth="1"/>
    <col min="15807" max="15807" width="8.6328125" style="1"/>
    <col min="15808" max="15808" width="9.6328125" style="1" customWidth="1"/>
    <col min="15809" max="15809" width="35.6328125" style="1" customWidth="1"/>
    <col min="15810" max="15811" width="15.6328125" style="1" customWidth="1"/>
    <col min="15812" max="16060" width="8.6328125" style="1"/>
    <col min="16061" max="16061" width="50.6328125" style="1" customWidth="1"/>
    <col min="16062" max="16062" width="15.6328125" style="1" customWidth="1"/>
    <col min="16063" max="16063" width="8.6328125" style="1"/>
    <col min="16064" max="16064" width="9.6328125" style="1" customWidth="1"/>
    <col min="16065" max="16065" width="35.6328125" style="1" customWidth="1"/>
    <col min="16066" max="16067" width="15.6328125" style="1" customWidth="1"/>
    <col min="16068" max="16315" width="8.6328125" style="1"/>
    <col min="16316" max="16384" width="8.6328125" style="1" customWidth="1"/>
  </cols>
  <sheetData>
    <row r="1" spans="2:10" ht="22.75" hidden="1" customHeight="1" x14ac:dyDescent="0.45">
      <c r="B1" s="67"/>
      <c r="C1" s="67"/>
      <c r="D1" s="81" t="s">
        <v>40</v>
      </c>
      <c r="E1" s="81"/>
      <c r="F1" s="81"/>
      <c r="G1" s="81"/>
      <c r="H1" s="81"/>
      <c r="I1" s="81"/>
      <c r="J1" s="68"/>
    </row>
    <row r="2" spans="2:10" s="15" customFormat="1" ht="21" customHeight="1" x14ac:dyDescent="0.45">
      <c r="B2" s="66" t="s">
        <v>34</v>
      </c>
      <c r="C2" s="66" t="s">
        <v>50</v>
      </c>
      <c r="D2" s="16">
        <v>2016</v>
      </c>
      <c r="E2" s="16">
        <v>2017</v>
      </c>
      <c r="F2" s="16">
        <v>2018</v>
      </c>
      <c r="G2" s="16">
        <v>2019</v>
      </c>
      <c r="H2" s="16">
        <v>2020</v>
      </c>
      <c r="I2" s="16" t="s">
        <v>139</v>
      </c>
      <c r="J2" s="68"/>
    </row>
    <row r="3" spans="2:10" ht="15.5" x14ac:dyDescent="0.35">
      <c r="B3" s="8" t="s">
        <v>30</v>
      </c>
      <c r="C3" s="10" t="s">
        <v>0</v>
      </c>
      <c r="D3" s="62">
        <v>1635798</v>
      </c>
      <c r="E3" s="62">
        <v>1663273</v>
      </c>
      <c r="F3" s="62">
        <v>1680222</v>
      </c>
      <c r="G3" s="62">
        <v>1721475</v>
      </c>
      <c r="H3" s="63">
        <v>1748528</v>
      </c>
      <c r="I3" s="9" t="s">
        <v>1</v>
      </c>
    </row>
    <row r="4" spans="2:10" ht="15.5" x14ac:dyDescent="0.35">
      <c r="B4" s="8" t="s">
        <v>2</v>
      </c>
      <c r="C4" s="10" t="s">
        <v>0</v>
      </c>
      <c r="D4" s="62">
        <v>42591</v>
      </c>
      <c r="E4" s="62">
        <v>44564</v>
      </c>
      <c r="F4" s="62">
        <v>47806</v>
      </c>
      <c r="G4" s="62">
        <v>587810</v>
      </c>
      <c r="H4" s="63">
        <v>600397</v>
      </c>
      <c r="I4" s="9" t="s">
        <v>1</v>
      </c>
    </row>
    <row r="5" spans="2:10" ht="15.5" x14ac:dyDescent="0.35">
      <c r="B5" s="8" t="s">
        <v>3</v>
      </c>
      <c r="C5" s="10" t="s">
        <v>0</v>
      </c>
      <c r="D5" s="62">
        <v>386532</v>
      </c>
      <c r="E5" s="62">
        <v>400806</v>
      </c>
      <c r="F5" s="62">
        <v>428993</v>
      </c>
      <c r="G5" s="62">
        <v>432500</v>
      </c>
      <c r="H5" s="63">
        <v>455162</v>
      </c>
      <c r="I5" s="9" t="s">
        <v>1</v>
      </c>
    </row>
    <row r="6" spans="2:10" ht="15.75" customHeight="1" x14ac:dyDescent="0.35">
      <c r="B6" s="8" t="s">
        <v>22</v>
      </c>
      <c r="C6" s="10" t="s">
        <v>6</v>
      </c>
      <c r="D6" s="41">
        <v>2332.1799999999998</v>
      </c>
      <c r="E6" s="41">
        <v>2398.36</v>
      </c>
      <c r="F6" s="41">
        <v>2457.4</v>
      </c>
      <c r="G6" s="41">
        <v>2526.6999999999998</v>
      </c>
      <c r="H6" s="42" t="s">
        <v>129</v>
      </c>
      <c r="I6" s="11" t="s">
        <v>7</v>
      </c>
    </row>
    <row r="7" spans="2:10" ht="15.5" x14ac:dyDescent="0.35">
      <c r="B7" s="8" t="s">
        <v>23</v>
      </c>
      <c r="C7" s="10" t="s">
        <v>6</v>
      </c>
      <c r="D7" s="41">
        <v>1534.576</v>
      </c>
      <c r="E7" s="41">
        <v>1545.36</v>
      </c>
      <c r="F7" s="41">
        <v>1557.2719999999999</v>
      </c>
      <c r="G7" s="41">
        <v>1569.376</v>
      </c>
      <c r="H7" s="41">
        <v>1587.0160000000001</v>
      </c>
      <c r="I7" s="9" t="s">
        <v>7</v>
      </c>
    </row>
    <row r="8" spans="2:10" ht="15.65" customHeight="1" x14ac:dyDescent="0.35">
      <c r="B8" s="8" t="s">
        <v>8</v>
      </c>
      <c r="C8" s="10" t="s">
        <v>0</v>
      </c>
      <c r="D8" s="41">
        <v>191822</v>
      </c>
      <c r="E8" s="41">
        <v>193170</v>
      </c>
      <c r="F8" s="41">
        <v>194659</v>
      </c>
      <c r="G8" s="41">
        <v>196172</v>
      </c>
      <c r="H8" s="42">
        <v>198377</v>
      </c>
      <c r="I8" s="11" t="s">
        <v>7</v>
      </c>
    </row>
    <row r="9" spans="2:10" ht="15.5" x14ac:dyDescent="0.35">
      <c r="B9" s="8" t="s">
        <v>9</v>
      </c>
      <c r="C9" s="10" t="s">
        <v>10</v>
      </c>
      <c r="D9" s="41">
        <v>8</v>
      </c>
      <c r="E9" s="41">
        <v>8</v>
      </c>
      <c r="F9" s="41">
        <v>8</v>
      </c>
      <c r="G9" s="41">
        <v>8</v>
      </c>
      <c r="H9" s="42">
        <v>8</v>
      </c>
      <c r="I9" s="9" t="s">
        <v>7</v>
      </c>
    </row>
    <row r="10" spans="2:10" ht="15.5" x14ac:dyDescent="0.35">
      <c r="B10" s="8" t="s">
        <v>24</v>
      </c>
      <c r="C10" s="10" t="s">
        <v>11</v>
      </c>
      <c r="D10" s="41">
        <v>14.4</v>
      </c>
      <c r="E10" s="41">
        <v>14.2</v>
      </c>
      <c r="F10" s="41">
        <v>13.8</v>
      </c>
      <c r="G10" s="41">
        <v>13.4</v>
      </c>
      <c r="H10" s="42">
        <v>13</v>
      </c>
      <c r="I10" s="11" t="s">
        <v>7</v>
      </c>
    </row>
    <row r="11" spans="2:10" ht="15.5" x14ac:dyDescent="0.35">
      <c r="B11" s="8" t="s">
        <v>12</v>
      </c>
      <c r="C11" s="10" t="s">
        <v>10</v>
      </c>
      <c r="D11" s="41">
        <v>182</v>
      </c>
      <c r="E11" s="41">
        <v>182</v>
      </c>
      <c r="F11" s="41">
        <v>182</v>
      </c>
      <c r="G11" s="41">
        <v>182</v>
      </c>
      <c r="H11" s="42">
        <v>182</v>
      </c>
      <c r="I11" s="11" t="s">
        <v>7</v>
      </c>
    </row>
    <row r="12" spans="2:10" ht="15.5" x14ac:dyDescent="0.35">
      <c r="B12" s="8" t="s">
        <v>13</v>
      </c>
      <c r="C12" s="10" t="s">
        <v>0</v>
      </c>
      <c r="D12" s="41">
        <v>970</v>
      </c>
      <c r="E12" s="41">
        <v>1203</v>
      </c>
      <c r="F12" s="41">
        <v>1587</v>
      </c>
      <c r="G12" s="41">
        <v>2033</v>
      </c>
      <c r="H12" s="42">
        <v>2355</v>
      </c>
      <c r="I12" s="9" t="s">
        <v>7</v>
      </c>
    </row>
    <row r="13" spans="2:10" ht="15.5" x14ac:dyDescent="0.35">
      <c r="B13" s="8" t="s">
        <v>14</v>
      </c>
      <c r="C13" s="10" t="s">
        <v>0</v>
      </c>
      <c r="D13" s="41">
        <v>3</v>
      </c>
      <c r="E13" s="41">
        <v>12</v>
      </c>
      <c r="F13" s="41">
        <v>26</v>
      </c>
      <c r="G13" s="41">
        <v>60</v>
      </c>
      <c r="H13" s="42">
        <v>72</v>
      </c>
      <c r="I13" s="11" t="s">
        <v>7</v>
      </c>
    </row>
    <row r="14" spans="2:10" ht="15.5" x14ac:dyDescent="0.35">
      <c r="B14" s="7" t="s">
        <v>25</v>
      </c>
      <c r="C14" s="10" t="s">
        <v>10</v>
      </c>
      <c r="D14" s="41">
        <v>4</v>
      </c>
      <c r="E14" s="41">
        <v>4</v>
      </c>
      <c r="F14" s="41">
        <v>4</v>
      </c>
      <c r="G14" s="41">
        <v>4</v>
      </c>
      <c r="H14" s="43">
        <v>4</v>
      </c>
      <c r="I14" s="11" t="s">
        <v>7</v>
      </c>
    </row>
    <row r="15" spans="2:10" ht="31" x14ac:dyDescent="0.35">
      <c r="B15" s="17" t="s">
        <v>45</v>
      </c>
      <c r="C15" s="10" t="s">
        <v>29</v>
      </c>
      <c r="D15" s="41">
        <v>1187</v>
      </c>
      <c r="E15" s="41">
        <v>1000.7</v>
      </c>
      <c r="F15" s="41">
        <v>980.8</v>
      </c>
      <c r="G15" s="41">
        <v>972.4</v>
      </c>
      <c r="H15" s="44">
        <v>817.9</v>
      </c>
      <c r="I15" s="11" t="s">
        <v>7</v>
      </c>
    </row>
    <row r="16" spans="2:10" ht="15" x14ac:dyDescent="0.3">
      <c r="B16" s="80" t="s">
        <v>15</v>
      </c>
      <c r="C16" s="80"/>
      <c r="D16" s="80"/>
      <c r="E16" s="80"/>
      <c r="F16" s="80"/>
      <c r="G16" s="80"/>
      <c r="H16" s="80"/>
      <c r="I16" s="80"/>
      <c r="J16" s="6"/>
    </row>
    <row r="17" spans="2:10" ht="16.5" customHeight="1" x14ac:dyDescent="0.35">
      <c r="B17" s="4" t="s">
        <v>21</v>
      </c>
      <c r="C17" s="3" t="s">
        <v>5</v>
      </c>
      <c r="D17" s="47">
        <v>141886124</v>
      </c>
      <c r="E17" s="48">
        <v>146412735</v>
      </c>
      <c r="F17" s="49">
        <v>149403636</v>
      </c>
      <c r="G17" s="47">
        <v>154880299</v>
      </c>
      <c r="H17" s="47">
        <v>160173719</v>
      </c>
      <c r="I17" s="2" t="s">
        <v>42</v>
      </c>
    </row>
    <row r="18" spans="2:10" ht="15.5" x14ac:dyDescent="0.35">
      <c r="B18" s="4" t="s">
        <v>26</v>
      </c>
      <c r="C18" s="3" t="s">
        <v>5</v>
      </c>
      <c r="D18" s="45">
        <v>0</v>
      </c>
      <c r="E18" s="45">
        <v>0</v>
      </c>
      <c r="F18" s="45">
        <v>0</v>
      </c>
      <c r="G18" s="45">
        <v>0</v>
      </c>
      <c r="H18" s="46">
        <v>0</v>
      </c>
      <c r="I18" s="2" t="s">
        <v>42</v>
      </c>
    </row>
    <row r="19" spans="2:10" ht="15.5" x14ac:dyDescent="0.35">
      <c r="B19" s="4" t="s">
        <v>18</v>
      </c>
      <c r="C19" s="3" t="s">
        <v>5</v>
      </c>
      <c r="D19" s="47">
        <v>64198939</v>
      </c>
      <c r="E19" s="47">
        <v>69750634</v>
      </c>
      <c r="F19" s="47">
        <v>73368358</v>
      </c>
      <c r="G19" s="47">
        <v>79154927</v>
      </c>
      <c r="H19" s="48">
        <v>79245988</v>
      </c>
      <c r="I19" s="2" t="s">
        <v>42</v>
      </c>
    </row>
    <row r="20" spans="2:10" ht="36.75" customHeight="1" x14ac:dyDescent="0.35">
      <c r="B20" s="4" t="s">
        <v>17</v>
      </c>
      <c r="C20" s="3" t="s">
        <v>5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2" t="s">
        <v>42</v>
      </c>
    </row>
    <row r="21" spans="2:10" ht="42" customHeight="1" x14ac:dyDescent="0.3">
      <c r="B21" s="4" t="s">
        <v>19</v>
      </c>
      <c r="C21" s="5" t="s">
        <v>46</v>
      </c>
      <c r="D21" s="47">
        <v>655164</v>
      </c>
      <c r="E21" s="49">
        <v>820127</v>
      </c>
      <c r="F21" s="49">
        <v>729734</v>
      </c>
      <c r="G21" s="47">
        <v>2208986</v>
      </c>
      <c r="H21" s="47">
        <v>1418837</v>
      </c>
      <c r="I21" s="2" t="s">
        <v>42</v>
      </c>
    </row>
    <row r="22" spans="2:10" ht="42" customHeight="1" x14ac:dyDescent="0.3">
      <c r="B22" s="4" t="s">
        <v>20</v>
      </c>
      <c r="C22" s="5" t="s">
        <v>5</v>
      </c>
      <c r="D22" s="47">
        <v>11764403</v>
      </c>
      <c r="E22" s="47">
        <v>17870238</v>
      </c>
      <c r="F22" s="47">
        <v>24493368</v>
      </c>
      <c r="G22" s="47">
        <v>22405888</v>
      </c>
      <c r="H22" s="47">
        <v>32033404</v>
      </c>
      <c r="I22" s="2" t="s">
        <v>42</v>
      </c>
    </row>
    <row r="23" spans="2:10" ht="46.5" customHeight="1" x14ac:dyDescent="0.3">
      <c r="B23" s="4" t="s">
        <v>27</v>
      </c>
      <c r="C23" s="5" t="s">
        <v>5</v>
      </c>
      <c r="D23" s="47">
        <v>17026335</v>
      </c>
      <c r="E23" s="48">
        <v>14641273</v>
      </c>
      <c r="F23" s="47">
        <v>7754048</v>
      </c>
      <c r="G23" s="47">
        <v>7744015</v>
      </c>
      <c r="H23" s="47">
        <v>8008686</v>
      </c>
      <c r="I23" s="2" t="s">
        <v>42</v>
      </c>
    </row>
    <row r="24" spans="2:10" ht="33.75" customHeight="1" x14ac:dyDescent="0.3">
      <c r="B24" s="4" t="s">
        <v>28</v>
      </c>
      <c r="C24" s="5" t="s">
        <v>5</v>
      </c>
      <c r="D24" s="49">
        <v>10</v>
      </c>
      <c r="E24" s="51">
        <v>10</v>
      </c>
      <c r="F24" s="49">
        <v>10</v>
      </c>
      <c r="G24" s="49">
        <v>10</v>
      </c>
      <c r="H24" s="49">
        <v>10</v>
      </c>
      <c r="I24" s="2" t="s">
        <v>42</v>
      </c>
    </row>
    <row r="25" spans="2:10" ht="33.75" customHeight="1" x14ac:dyDescent="0.3">
      <c r="B25" s="4" t="s">
        <v>155</v>
      </c>
      <c r="C25" s="5" t="s">
        <v>4</v>
      </c>
      <c r="D25" s="49">
        <v>3</v>
      </c>
      <c r="E25" s="49">
        <v>3</v>
      </c>
      <c r="F25" s="49">
        <v>3</v>
      </c>
      <c r="G25" s="49">
        <v>3</v>
      </c>
      <c r="H25" s="49">
        <v>3</v>
      </c>
      <c r="I25" s="2" t="s">
        <v>42</v>
      </c>
    </row>
    <row r="26" spans="2:10" ht="42" customHeight="1" x14ac:dyDescent="0.3">
      <c r="B26" s="7" t="s">
        <v>60</v>
      </c>
      <c r="C26" s="41" t="s">
        <v>46</v>
      </c>
      <c r="D26" s="52">
        <f>D17-D19</f>
        <v>77687185</v>
      </c>
      <c r="E26" s="52">
        <f t="shared" ref="E26:H26" si="0">E17-E19</f>
        <v>76662101</v>
      </c>
      <c r="F26" s="52">
        <f t="shared" si="0"/>
        <v>76035278</v>
      </c>
      <c r="G26" s="52">
        <f t="shared" si="0"/>
        <v>75725372</v>
      </c>
      <c r="H26" s="52">
        <f t="shared" si="0"/>
        <v>80927731</v>
      </c>
      <c r="I26" s="38" t="s">
        <v>42</v>
      </c>
    </row>
    <row r="27" spans="2:10" ht="42" customHeight="1" x14ac:dyDescent="0.3">
      <c r="B27" s="7" t="s">
        <v>61</v>
      </c>
      <c r="C27" s="41" t="s">
        <v>5</v>
      </c>
      <c r="D27" s="52">
        <f>D26-D21-D22</f>
        <v>65267618</v>
      </c>
      <c r="E27" s="52">
        <f t="shared" ref="E27:H27" si="1">E26-E21-E22</f>
        <v>57971736</v>
      </c>
      <c r="F27" s="52">
        <f t="shared" si="1"/>
        <v>50812176</v>
      </c>
      <c r="G27" s="52">
        <f t="shared" si="1"/>
        <v>51110498</v>
      </c>
      <c r="H27" s="52">
        <f t="shared" si="1"/>
        <v>47475490</v>
      </c>
      <c r="I27" s="38" t="s">
        <v>42</v>
      </c>
    </row>
    <row r="28" spans="2:10" ht="46.5" customHeight="1" x14ac:dyDescent="0.3">
      <c r="B28" s="7" t="s">
        <v>62</v>
      </c>
      <c r="C28" s="41" t="s">
        <v>5</v>
      </c>
      <c r="D28" s="52">
        <f>D27-D29</f>
        <v>34052670.600000001</v>
      </c>
      <c r="E28" s="52">
        <f t="shared" ref="E28:H28" si="2">E27-E29</f>
        <v>28689189.5</v>
      </c>
      <c r="F28" s="52">
        <f t="shared" si="2"/>
        <v>28117764.399999999</v>
      </c>
      <c r="G28" s="52">
        <f t="shared" si="2"/>
        <v>27878453.100000001</v>
      </c>
      <c r="H28" s="52">
        <f t="shared" si="2"/>
        <v>23449432.100000001</v>
      </c>
      <c r="I28" s="38" t="s">
        <v>42</v>
      </c>
    </row>
    <row r="29" spans="2:10" ht="33.75" customHeight="1" x14ac:dyDescent="0.3">
      <c r="B29" s="7" t="s">
        <v>63</v>
      </c>
      <c r="C29" s="41" t="s">
        <v>5</v>
      </c>
      <c r="D29" s="53">
        <f>(D24*(D17))/100+D23</f>
        <v>31214947.399999999</v>
      </c>
      <c r="E29" s="53">
        <f t="shared" ref="E29:H29" si="3">(E24*(E17))/100+E23</f>
        <v>29282546.5</v>
      </c>
      <c r="F29" s="53">
        <f t="shared" si="3"/>
        <v>22694411.600000001</v>
      </c>
      <c r="G29" s="53">
        <f t="shared" si="3"/>
        <v>23232044.899999999</v>
      </c>
      <c r="H29" s="53">
        <f t="shared" si="3"/>
        <v>24026057.899999999</v>
      </c>
      <c r="I29" s="38" t="s">
        <v>42</v>
      </c>
    </row>
    <row r="30" spans="2:10" ht="33.75" customHeight="1" x14ac:dyDescent="0.3">
      <c r="B30" s="7" t="s">
        <v>64</v>
      </c>
      <c r="C30" s="41" t="s">
        <v>5</v>
      </c>
      <c r="D30" s="53">
        <f>D21+D22</f>
        <v>12419567</v>
      </c>
      <c r="E30" s="53">
        <f t="shared" ref="E30:H30" si="4">E21+E22</f>
        <v>18690365</v>
      </c>
      <c r="F30" s="53">
        <f t="shared" si="4"/>
        <v>25223102</v>
      </c>
      <c r="G30" s="53">
        <f t="shared" si="4"/>
        <v>24614874</v>
      </c>
      <c r="H30" s="53">
        <f t="shared" si="4"/>
        <v>33452241</v>
      </c>
      <c r="I30" s="38" t="s">
        <v>42</v>
      </c>
    </row>
    <row r="31" spans="2:10" ht="15" x14ac:dyDescent="0.3">
      <c r="B31" s="80" t="s">
        <v>15</v>
      </c>
      <c r="C31" s="80"/>
      <c r="D31" s="80"/>
      <c r="E31" s="80"/>
      <c r="F31" s="80"/>
      <c r="G31" s="80"/>
      <c r="H31" s="80"/>
      <c r="I31" s="80"/>
      <c r="J31" s="6"/>
    </row>
    <row r="32" spans="2:10" ht="15.5" x14ac:dyDescent="0.35">
      <c r="B32" s="12" t="s">
        <v>41</v>
      </c>
      <c r="C32" s="13" t="s">
        <v>0</v>
      </c>
      <c r="D32" s="14">
        <v>837</v>
      </c>
      <c r="E32" s="14">
        <v>724</v>
      </c>
      <c r="F32" s="14">
        <v>503</v>
      </c>
      <c r="G32" s="14">
        <v>416</v>
      </c>
      <c r="H32" s="55">
        <v>486</v>
      </c>
      <c r="I32" s="14" t="s">
        <v>7</v>
      </c>
    </row>
    <row r="33" spans="2:9" ht="15.5" x14ac:dyDescent="0.35">
      <c r="B33" s="12" t="s">
        <v>43</v>
      </c>
      <c r="C33" s="13" t="s">
        <v>0</v>
      </c>
      <c r="D33" s="14">
        <v>13900</v>
      </c>
      <c r="E33" s="14">
        <v>12025</v>
      </c>
      <c r="F33" s="14">
        <v>8346</v>
      </c>
      <c r="G33" s="14">
        <v>6918</v>
      </c>
      <c r="H33" s="55">
        <v>8057</v>
      </c>
      <c r="I33" s="14" t="s">
        <v>16</v>
      </c>
    </row>
    <row r="34" spans="2:9" ht="15.5" x14ac:dyDescent="0.35">
      <c r="B34" s="12" t="s">
        <v>32</v>
      </c>
      <c r="C34" s="13" t="s">
        <v>5</v>
      </c>
      <c r="D34" s="58">
        <v>62726222</v>
      </c>
      <c r="E34" s="58">
        <v>72643833</v>
      </c>
      <c r="F34" s="58">
        <v>74144700</v>
      </c>
      <c r="G34" s="58">
        <v>77679487</v>
      </c>
      <c r="H34" s="59">
        <v>79960666</v>
      </c>
      <c r="I34" s="13" t="s">
        <v>1</v>
      </c>
    </row>
    <row r="35" spans="2:9" ht="15.5" x14ac:dyDescent="0.35">
      <c r="B35" s="12" t="s">
        <v>31</v>
      </c>
      <c r="C35" s="13" t="s">
        <v>4</v>
      </c>
      <c r="D35" s="60">
        <v>4467929</v>
      </c>
      <c r="E35" s="60">
        <v>4775773</v>
      </c>
      <c r="F35" s="60">
        <v>5112732</v>
      </c>
      <c r="G35" s="60">
        <v>5498431</v>
      </c>
      <c r="H35" s="59">
        <v>5837042</v>
      </c>
      <c r="I35" s="13" t="s">
        <v>1</v>
      </c>
    </row>
    <row r="36" spans="2:9" ht="15.5" x14ac:dyDescent="0.35">
      <c r="B36" s="12" t="s">
        <v>35</v>
      </c>
      <c r="C36" s="13" t="s">
        <v>33</v>
      </c>
      <c r="D36" s="14">
        <v>2.17</v>
      </c>
      <c r="E36" s="14">
        <v>2.29</v>
      </c>
      <c r="F36" s="14">
        <v>3.22</v>
      </c>
      <c r="G36" s="14">
        <v>2.2000000000000002</v>
      </c>
      <c r="H36" s="13">
        <v>2.4500000000000002</v>
      </c>
      <c r="I36" s="14" t="s">
        <v>7</v>
      </c>
    </row>
    <row r="37" spans="2:9" ht="15.5" x14ac:dyDescent="0.35">
      <c r="B37" s="12" t="s">
        <v>44</v>
      </c>
      <c r="C37" s="13" t="s">
        <v>47</v>
      </c>
      <c r="D37" s="14">
        <v>4.1100000000000003</v>
      </c>
      <c r="E37" s="14">
        <v>4.58</v>
      </c>
      <c r="F37" s="61">
        <v>5</v>
      </c>
      <c r="G37" s="14">
        <v>4.8600000000000003</v>
      </c>
      <c r="H37" s="13">
        <v>5.28</v>
      </c>
      <c r="I37" s="13" t="s">
        <v>1</v>
      </c>
    </row>
    <row r="38" spans="2:9" ht="15.5" x14ac:dyDescent="0.35">
      <c r="B38" s="12" t="s">
        <v>36</v>
      </c>
      <c r="C38" s="13" t="s">
        <v>39</v>
      </c>
      <c r="D38" s="14">
        <v>5.77</v>
      </c>
      <c r="E38" s="14">
        <v>13.2</v>
      </c>
      <c r="F38" s="14">
        <v>11.72</v>
      </c>
      <c r="G38" s="14">
        <v>13.3</v>
      </c>
      <c r="H38" s="13">
        <v>10.23</v>
      </c>
      <c r="I38" s="14" t="s">
        <v>7</v>
      </c>
    </row>
    <row r="39" spans="2:9" ht="15.5" x14ac:dyDescent="0.35">
      <c r="B39" s="12" t="s">
        <v>37</v>
      </c>
      <c r="C39" s="13" t="s">
        <v>0</v>
      </c>
      <c r="D39" s="14">
        <v>247</v>
      </c>
      <c r="E39" s="14">
        <v>323</v>
      </c>
      <c r="F39" s="14">
        <v>182</v>
      </c>
      <c r="G39" s="14">
        <v>177</v>
      </c>
      <c r="H39" s="13">
        <v>125</v>
      </c>
      <c r="I39" s="14" t="s">
        <v>7</v>
      </c>
    </row>
    <row r="40" spans="2:9" ht="15.5" x14ac:dyDescent="0.35">
      <c r="B40" s="12" t="s">
        <v>38</v>
      </c>
      <c r="C40" s="13" t="s">
        <v>0</v>
      </c>
      <c r="D40" s="14">
        <v>1752</v>
      </c>
      <c r="E40" s="14">
        <v>1255</v>
      </c>
      <c r="F40" s="14">
        <v>421</v>
      </c>
      <c r="G40" s="14">
        <v>864</v>
      </c>
      <c r="H40" s="14">
        <v>552</v>
      </c>
      <c r="I40" s="14" t="s">
        <v>7</v>
      </c>
    </row>
  </sheetData>
  <mergeCells count="3">
    <mergeCell ref="B31:I31"/>
    <mergeCell ref="B16:I16"/>
    <mergeCell ref="D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abSelected="1" topLeftCell="A64" zoomScale="70" zoomScaleNormal="70" workbookViewId="0">
      <selection activeCell="I7" sqref="I7"/>
    </sheetView>
  </sheetViews>
  <sheetFormatPr defaultColWidth="8.81640625" defaultRowHeight="14" x14ac:dyDescent="0.3"/>
  <cols>
    <col min="1" max="1" width="16.453125" style="1" bestFit="1" customWidth="1"/>
    <col min="2" max="2" width="57.453125" style="1" customWidth="1"/>
    <col min="3" max="3" width="25.6328125" style="1" bestFit="1" customWidth="1"/>
    <col min="4" max="4" width="19.453125" style="40" bestFit="1" customWidth="1"/>
    <col min="5" max="9" width="19.453125" style="40" customWidth="1"/>
    <col min="10" max="10" width="78.6328125" style="1" bestFit="1" customWidth="1"/>
    <col min="11" max="16384" width="8.81640625" style="1"/>
  </cols>
  <sheetData>
    <row r="1" spans="1:9" ht="20" x14ac:dyDescent="0.3">
      <c r="B1" s="83" t="s">
        <v>48</v>
      </c>
      <c r="C1" s="83"/>
      <c r="D1" s="83"/>
      <c r="E1" s="83"/>
      <c r="F1" s="83"/>
      <c r="G1" s="83"/>
      <c r="H1" s="83"/>
      <c r="I1" s="74"/>
    </row>
    <row r="2" spans="1:9" ht="25" customHeight="1" x14ac:dyDescent="0.3">
      <c r="B2" s="82" t="s">
        <v>49</v>
      </c>
      <c r="C2" s="82"/>
      <c r="D2" s="82"/>
      <c r="E2" s="82"/>
      <c r="F2" s="82"/>
      <c r="G2" s="82"/>
      <c r="H2" s="82"/>
      <c r="I2" s="1"/>
    </row>
    <row r="3" spans="1:9" x14ac:dyDescent="0.3">
      <c r="A3" s="20"/>
      <c r="B3" s="70" t="s">
        <v>140</v>
      </c>
      <c r="C3" s="71" t="s">
        <v>50</v>
      </c>
      <c r="D3" s="72">
        <f>'veri- '!D2</f>
        <v>2016</v>
      </c>
      <c r="E3" s="72">
        <f>'veri- '!E2</f>
        <v>2017</v>
      </c>
      <c r="F3" s="72">
        <f>'veri- '!F2</f>
        <v>2018</v>
      </c>
      <c r="G3" s="72">
        <f>'veri- '!G2</f>
        <v>2019</v>
      </c>
      <c r="H3" s="72">
        <f>'veri- '!H2</f>
        <v>2020</v>
      </c>
      <c r="I3" s="75"/>
    </row>
    <row r="4" spans="1:9" x14ac:dyDescent="0.3">
      <c r="A4" s="20"/>
      <c r="B4" s="69" t="s">
        <v>51</v>
      </c>
      <c r="C4" s="18" t="s">
        <v>6</v>
      </c>
      <c r="D4" s="19">
        <v>365</v>
      </c>
      <c r="E4" s="19">
        <v>365</v>
      </c>
      <c r="F4" s="19">
        <v>365</v>
      </c>
      <c r="G4" s="19">
        <v>365</v>
      </c>
      <c r="H4" s="19">
        <v>365</v>
      </c>
      <c r="I4" s="28"/>
    </row>
    <row r="5" spans="1:9" x14ac:dyDescent="0.3">
      <c r="B5" s="18" t="s">
        <v>52</v>
      </c>
      <c r="C5" s="19" t="s">
        <v>6</v>
      </c>
      <c r="D5" s="21">
        <f>'veri- '!D6</f>
        <v>2332.1799999999998</v>
      </c>
      <c r="E5" s="21">
        <f>'veri- '!E6</f>
        <v>2398.36</v>
      </c>
      <c r="F5" s="21">
        <f>'veri- '!F6</f>
        <v>2457.4</v>
      </c>
      <c r="G5" s="21">
        <f>'veri- '!G6</f>
        <v>2526.6999999999998</v>
      </c>
      <c r="H5" s="21" t="str">
        <f>'veri- '!H6</f>
        <v>2577.73</v>
      </c>
      <c r="I5" s="76"/>
    </row>
    <row r="6" spans="1:9" x14ac:dyDescent="0.3">
      <c r="B6" s="18" t="s">
        <v>23</v>
      </c>
      <c r="C6" s="19" t="s">
        <v>0</v>
      </c>
      <c r="D6" s="21">
        <f>'veri- '!D7</f>
        <v>1534.576</v>
      </c>
      <c r="E6" s="21">
        <f>'veri- '!E7</f>
        <v>1545.36</v>
      </c>
      <c r="F6" s="21">
        <f>'veri- '!F7</f>
        <v>1557.2719999999999</v>
      </c>
      <c r="G6" s="21">
        <f>'veri- '!G7</f>
        <v>1569.376</v>
      </c>
      <c r="H6" s="21">
        <f>'veri- '!H7</f>
        <v>1587.0160000000001</v>
      </c>
      <c r="I6" s="76"/>
    </row>
    <row r="7" spans="1:9" x14ac:dyDescent="0.3">
      <c r="B7" s="18" t="s">
        <v>53</v>
      </c>
      <c r="C7" s="19" t="s">
        <v>55</v>
      </c>
      <c r="D7" s="21">
        <f>'veri- '!D8</f>
        <v>191822</v>
      </c>
      <c r="E7" s="21">
        <f>'veri- '!E8</f>
        <v>193170</v>
      </c>
      <c r="F7" s="21">
        <f>'veri- '!F8</f>
        <v>194659</v>
      </c>
      <c r="G7" s="21">
        <f>'veri- '!G8</f>
        <v>196172</v>
      </c>
      <c r="H7" s="21">
        <f>'veri- '!H8</f>
        <v>198377</v>
      </c>
      <c r="I7" s="76"/>
    </row>
    <row r="8" spans="1:9" x14ac:dyDescent="0.3">
      <c r="B8" s="18" t="s">
        <v>54</v>
      </c>
      <c r="C8" s="19"/>
      <c r="D8" s="22">
        <f>D7/D5</f>
        <v>82.250083612757166</v>
      </c>
      <c r="E8" s="22">
        <f t="shared" ref="E8:H8" si="0">E7/E5</f>
        <v>80.542537400557038</v>
      </c>
      <c r="F8" s="22">
        <f t="shared" si="0"/>
        <v>79.213396272483109</v>
      </c>
      <c r="G8" s="22">
        <f t="shared" si="0"/>
        <v>77.63960897613488</v>
      </c>
      <c r="H8" s="22" t="e">
        <f t="shared" si="0"/>
        <v>#VALUE!</v>
      </c>
      <c r="I8" s="77"/>
    </row>
    <row r="9" spans="1:9" x14ac:dyDescent="0.3">
      <c r="B9" s="18" t="s">
        <v>56</v>
      </c>
      <c r="C9" s="19" t="s">
        <v>154</v>
      </c>
      <c r="D9" s="19">
        <v>40</v>
      </c>
      <c r="E9" s="19">
        <v>40</v>
      </c>
      <c r="F9" s="19">
        <v>40</v>
      </c>
      <c r="G9" s="19">
        <v>40</v>
      </c>
      <c r="H9" s="19">
        <v>40</v>
      </c>
      <c r="I9" s="28"/>
    </row>
    <row r="10" spans="1:9" x14ac:dyDescent="0.3">
      <c r="B10" s="18" t="s">
        <v>57</v>
      </c>
      <c r="C10" s="19" t="s">
        <v>5</v>
      </c>
      <c r="D10" s="22">
        <f>'veri- '!D17</f>
        <v>141886124</v>
      </c>
      <c r="E10" s="22">
        <f>'veri- '!E17</f>
        <v>146412735</v>
      </c>
      <c r="F10" s="22">
        <f>'veri- '!F17</f>
        <v>149403636</v>
      </c>
      <c r="G10" s="22">
        <f>'veri- '!G17</f>
        <v>154880299</v>
      </c>
      <c r="H10" s="22">
        <f>'veri- '!H17</f>
        <v>160173719</v>
      </c>
      <c r="I10" s="1"/>
    </row>
    <row r="11" spans="1:9" x14ac:dyDescent="0.3">
      <c r="B11" s="18" t="s">
        <v>58</v>
      </c>
      <c r="C11" s="19" t="s">
        <v>5</v>
      </c>
      <c r="D11" s="22">
        <f>'veri- '!D19</f>
        <v>64198939</v>
      </c>
      <c r="E11" s="22">
        <f>'veri- '!E19</f>
        <v>69750634</v>
      </c>
      <c r="F11" s="22">
        <f>'veri- '!F19</f>
        <v>73368358</v>
      </c>
      <c r="G11" s="22">
        <f>'veri- '!G19</f>
        <v>79154927</v>
      </c>
      <c r="H11" s="22">
        <f>'veri- '!H19</f>
        <v>79245988</v>
      </c>
      <c r="I11" s="1"/>
    </row>
    <row r="12" spans="1:9" x14ac:dyDescent="0.3">
      <c r="B12" s="18" t="s">
        <v>32</v>
      </c>
      <c r="C12" s="19" t="s">
        <v>5</v>
      </c>
      <c r="D12" s="22">
        <f>'veri- '!D34</f>
        <v>62726222</v>
      </c>
      <c r="E12" s="22">
        <f>'veri- '!E34</f>
        <v>72643833</v>
      </c>
      <c r="F12" s="22">
        <f>'veri- '!F34</f>
        <v>74144700</v>
      </c>
      <c r="G12" s="22">
        <f>'veri- '!G34</f>
        <v>77679487</v>
      </c>
      <c r="H12" s="22">
        <f>'veri- '!H34</f>
        <v>79960666</v>
      </c>
      <c r="I12" s="1"/>
    </row>
    <row r="13" spans="1:9" x14ac:dyDescent="0.3">
      <c r="B13" s="18" t="s">
        <v>59</v>
      </c>
      <c r="C13" s="19" t="s">
        <v>0</v>
      </c>
      <c r="D13" s="21">
        <f>'veri- '!D4+'veri- '!D5</f>
        <v>429123</v>
      </c>
      <c r="E13" s="21">
        <f>'veri- '!E4+'veri- '!E5</f>
        <v>445370</v>
      </c>
      <c r="F13" s="21">
        <f>'veri- '!F4+'veri- '!F5</f>
        <v>476799</v>
      </c>
      <c r="G13" s="21">
        <f>'veri- '!G4+'veri- '!G5</f>
        <v>1020310</v>
      </c>
      <c r="H13" s="21">
        <f>'veri- '!H4+'veri- '!H5</f>
        <v>1055559</v>
      </c>
      <c r="I13" s="1"/>
    </row>
    <row r="14" spans="1:9" x14ac:dyDescent="0.3">
      <c r="B14" s="18" t="s">
        <v>31</v>
      </c>
      <c r="C14" s="19" t="s">
        <v>0</v>
      </c>
      <c r="D14" s="19">
        <f>'veri- '!D35</f>
        <v>4467929</v>
      </c>
      <c r="E14" s="19">
        <f>'veri- '!E35</f>
        <v>4775773</v>
      </c>
      <c r="F14" s="19">
        <f>'veri- '!F35</f>
        <v>5112732</v>
      </c>
      <c r="G14" s="19">
        <f>'veri- '!G35</f>
        <v>5498431</v>
      </c>
      <c r="H14" s="19">
        <f>'veri- '!H35</f>
        <v>5837042</v>
      </c>
      <c r="I14" s="1"/>
    </row>
    <row r="15" spans="1:9" x14ac:dyDescent="0.3">
      <c r="D15" s="19"/>
      <c r="E15" s="19"/>
      <c r="F15" s="19"/>
      <c r="G15" s="19"/>
      <c r="H15" s="19"/>
      <c r="I15" s="1"/>
    </row>
    <row r="16" spans="1:9" ht="25" customHeight="1" x14ac:dyDescent="0.3">
      <c r="B16" s="82" t="s">
        <v>141</v>
      </c>
      <c r="C16" s="82"/>
      <c r="D16" s="82"/>
      <c r="E16" s="82"/>
      <c r="F16" s="82"/>
      <c r="G16" s="82"/>
      <c r="H16" s="82"/>
      <c r="I16" s="1"/>
    </row>
    <row r="17" spans="2:10" x14ac:dyDescent="0.3">
      <c r="B17" s="70" t="s">
        <v>140</v>
      </c>
      <c r="C17" s="71" t="s">
        <v>50</v>
      </c>
      <c r="D17" s="72">
        <v>2016</v>
      </c>
      <c r="E17" s="72">
        <v>2017</v>
      </c>
      <c r="F17" s="72">
        <v>2018</v>
      </c>
      <c r="G17" s="72">
        <v>2019</v>
      </c>
      <c r="H17" s="72">
        <v>2020</v>
      </c>
      <c r="I17" s="1"/>
    </row>
    <row r="18" spans="2:10" x14ac:dyDescent="0.3">
      <c r="B18" s="23" t="s">
        <v>60</v>
      </c>
      <c r="C18" s="18" t="s">
        <v>5</v>
      </c>
      <c r="D18" s="54">
        <f>'veri- '!D26</f>
        <v>77687185</v>
      </c>
      <c r="E18" s="54">
        <f>'veri- '!E26</f>
        <v>76662101</v>
      </c>
      <c r="F18" s="54">
        <f>'veri- '!F26</f>
        <v>76035278</v>
      </c>
      <c r="G18" s="54">
        <f>'veri- '!G26</f>
        <v>75725372</v>
      </c>
      <c r="H18" s="54">
        <f>'veri- '!H26</f>
        <v>80927731</v>
      </c>
      <c r="I18" s="1"/>
    </row>
    <row r="19" spans="2:10" x14ac:dyDescent="0.3">
      <c r="B19" s="23" t="s">
        <v>61</v>
      </c>
      <c r="C19" s="18" t="s">
        <v>5</v>
      </c>
      <c r="D19" s="54">
        <f>'veri- '!D27</f>
        <v>65267618</v>
      </c>
      <c r="E19" s="54">
        <f>'veri- '!E27</f>
        <v>57971736</v>
      </c>
      <c r="F19" s="54">
        <f>'veri- '!F27</f>
        <v>50812176</v>
      </c>
      <c r="G19" s="54">
        <f>'veri- '!G27</f>
        <v>51110498</v>
      </c>
      <c r="H19" s="54">
        <f>'veri- '!H27</f>
        <v>47475490</v>
      </c>
      <c r="I19" s="1"/>
    </row>
    <row r="20" spans="2:10" x14ac:dyDescent="0.3">
      <c r="B20" s="23" t="s">
        <v>63</v>
      </c>
      <c r="C20" s="18" t="s">
        <v>5</v>
      </c>
      <c r="D20" s="54">
        <f>'veri- '!D29</f>
        <v>31214947.399999999</v>
      </c>
      <c r="E20" s="54">
        <f>'veri- '!E29</f>
        <v>29282546.5</v>
      </c>
      <c r="F20" s="54">
        <f>'veri- '!F29</f>
        <v>22694411.600000001</v>
      </c>
      <c r="G20" s="54">
        <f>'veri- '!G29</f>
        <v>23232044.899999999</v>
      </c>
      <c r="H20" s="54">
        <f>'veri- '!H29</f>
        <v>24026057.899999999</v>
      </c>
      <c r="I20" s="1"/>
    </row>
    <row r="21" spans="2:10" x14ac:dyDescent="0.3">
      <c r="B21" s="23" t="s">
        <v>62</v>
      </c>
      <c r="C21" s="18" t="s">
        <v>5</v>
      </c>
      <c r="D21" s="54">
        <f>'veri- '!D28</f>
        <v>34052670.600000001</v>
      </c>
      <c r="E21" s="54">
        <f>'veri- '!E28</f>
        <v>28689189.5</v>
      </c>
      <c r="F21" s="54">
        <f>'veri- '!F28</f>
        <v>28117764.399999999</v>
      </c>
      <c r="G21" s="54">
        <f>'veri- '!G28</f>
        <v>27878453.100000001</v>
      </c>
      <c r="H21" s="54">
        <f>'veri- '!H28</f>
        <v>23449432.100000001</v>
      </c>
      <c r="I21" s="1"/>
    </row>
    <row r="22" spans="2:10" x14ac:dyDescent="0.3">
      <c r="B22" s="18" t="s">
        <v>64</v>
      </c>
      <c r="C22" s="18" t="s">
        <v>5</v>
      </c>
      <c r="D22" s="54">
        <f>'veri- '!D30</f>
        <v>12419567</v>
      </c>
      <c r="E22" s="54">
        <f>'veri- '!E30</f>
        <v>18690365</v>
      </c>
      <c r="F22" s="54">
        <f>'veri- '!F30</f>
        <v>25223102</v>
      </c>
      <c r="G22" s="54">
        <f>'veri- '!G30</f>
        <v>24614874</v>
      </c>
      <c r="H22" s="54">
        <f>'veri- '!H30</f>
        <v>33452241</v>
      </c>
      <c r="I22" s="1"/>
      <c r="J22" s="1">
        <f>D21/365*1000</f>
        <v>93294987.945205495</v>
      </c>
    </row>
    <row r="23" spans="2:10" x14ac:dyDescent="0.3">
      <c r="B23" s="79" t="s">
        <v>152</v>
      </c>
      <c r="C23" s="18" t="s">
        <v>5</v>
      </c>
      <c r="D23" s="54">
        <f>'veri- '!D17*'veri- '!D24/100</f>
        <v>14188612.4</v>
      </c>
      <c r="E23" s="54">
        <f>'veri- '!E17*'veri- '!E24/100</f>
        <v>14641273.5</v>
      </c>
      <c r="F23" s="54">
        <f>'veri- '!F17*'veri- '!F24/100</f>
        <v>14940363.6</v>
      </c>
      <c r="G23" s="54">
        <f>'veri- '!G17*'veri- '!G24/100</f>
        <v>15488029.9</v>
      </c>
      <c r="H23" s="54">
        <f>'veri- '!H17*'veri- '!H24/100</f>
        <v>16017371.9</v>
      </c>
      <c r="I23" s="1"/>
    </row>
    <row r="24" spans="2:10" x14ac:dyDescent="0.3">
      <c r="B24" s="79" t="s">
        <v>153</v>
      </c>
      <c r="C24" s="18" t="s">
        <v>5</v>
      </c>
      <c r="D24" s="54">
        <f>'veri- '!D23</f>
        <v>17026335</v>
      </c>
      <c r="E24" s="54">
        <f>'veri- '!E23</f>
        <v>14641273</v>
      </c>
      <c r="F24" s="54">
        <f>'veri- '!F23</f>
        <v>7754048</v>
      </c>
      <c r="G24" s="54">
        <f>'veri- '!G23</f>
        <v>7744015</v>
      </c>
      <c r="H24" s="54">
        <f>'veri- '!H23</f>
        <v>8008686</v>
      </c>
      <c r="I24" s="1"/>
    </row>
    <row r="25" spans="2:10" x14ac:dyDescent="0.3">
      <c r="B25" s="23"/>
      <c r="C25" s="23"/>
      <c r="D25" s="24"/>
      <c r="E25" s="24"/>
      <c r="F25" s="24"/>
      <c r="G25" s="24"/>
      <c r="H25" s="24"/>
      <c r="I25" s="1"/>
    </row>
    <row r="26" spans="2:10" ht="25" customHeight="1" x14ac:dyDescent="0.3">
      <c r="B26" s="82" t="s">
        <v>142</v>
      </c>
      <c r="C26" s="82"/>
      <c r="D26" s="82"/>
      <c r="E26" s="82"/>
      <c r="F26" s="82"/>
      <c r="G26" s="82"/>
      <c r="H26" s="82"/>
      <c r="I26" s="1"/>
    </row>
    <row r="27" spans="2:10" ht="25" customHeight="1" x14ac:dyDescent="0.3">
      <c r="B27" s="70" t="s">
        <v>140</v>
      </c>
      <c r="C27" s="71" t="s">
        <v>50</v>
      </c>
      <c r="D27" s="72">
        <v>2016</v>
      </c>
      <c r="E27" s="72">
        <v>2017</v>
      </c>
      <c r="F27" s="72">
        <v>2018</v>
      </c>
      <c r="G27" s="72">
        <v>2019</v>
      </c>
      <c r="H27" s="72">
        <v>2020</v>
      </c>
      <c r="I27" s="1"/>
    </row>
    <row r="28" spans="2:10" x14ac:dyDescent="0.3">
      <c r="B28" s="25" t="s">
        <v>65</v>
      </c>
      <c r="C28" s="25" t="s">
        <v>143</v>
      </c>
      <c r="D28" s="26">
        <f>D18/$D$10*100</f>
        <v>54.75319418831964</v>
      </c>
      <c r="E28" s="26">
        <f>E18/$E$10*100</f>
        <v>52.360268387855747</v>
      </c>
      <c r="F28" s="26">
        <f>F18/$F$10*100</f>
        <v>50.892521785748237</v>
      </c>
      <c r="G28" s="26">
        <f>G18/$G$10*100</f>
        <v>48.892836912717996</v>
      </c>
      <c r="H28" s="26">
        <f>H18/$H$10*100</f>
        <v>50.524974699501115</v>
      </c>
      <c r="I28" s="1"/>
    </row>
    <row r="29" spans="2:10" x14ac:dyDescent="0.3">
      <c r="B29" s="25" t="s">
        <v>66</v>
      </c>
      <c r="C29" s="25" t="s">
        <v>143</v>
      </c>
      <c r="D29" s="26">
        <f t="shared" ref="D29:D31" si="1">D19/$D$10*100</f>
        <v>46.000000676598937</v>
      </c>
      <c r="E29" s="26">
        <f t="shared" ref="E29:E31" si="2">E19/$E$10*100</f>
        <v>39.59473607265106</v>
      </c>
      <c r="F29" s="26">
        <f t="shared" ref="F29:F31" si="3">F19/$F$10*100</f>
        <v>34.009999595993769</v>
      </c>
      <c r="G29" s="26">
        <f t="shared" ref="G29:G31" si="4">G19/$G$10*100</f>
        <v>32.999999567407862</v>
      </c>
      <c r="H29" s="26">
        <f t="shared" ref="H29:H31" si="5">H19/$H$10*100</f>
        <v>29.639999805461219</v>
      </c>
      <c r="I29" s="1"/>
    </row>
    <row r="30" spans="2:10" x14ac:dyDescent="0.3">
      <c r="B30" s="27" t="s">
        <v>67</v>
      </c>
      <c r="C30" s="25" t="s">
        <v>143</v>
      </c>
      <c r="D30" s="26">
        <f t="shared" si="1"/>
        <v>22.000000084574868</v>
      </c>
      <c r="E30" s="26">
        <f t="shared" si="2"/>
        <v>19.99999965849965</v>
      </c>
      <c r="F30" s="26">
        <f t="shared" si="3"/>
        <v>15.189999525848222</v>
      </c>
      <c r="G30" s="26">
        <f t="shared" si="4"/>
        <v>15.000000032282996</v>
      </c>
      <c r="H30" s="26">
        <f t="shared" si="5"/>
        <v>15.000000031216107</v>
      </c>
      <c r="I30" s="1"/>
    </row>
    <row r="31" spans="2:10" x14ac:dyDescent="0.3">
      <c r="B31" s="25" t="s">
        <v>68</v>
      </c>
      <c r="C31" s="25" t="s">
        <v>143</v>
      </c>
      <c r="D31" s="26">
        <f t="shared" si="1"/>
        <v>24.000000592024069</v>
      </c>
      <c r="E31" s="26">
        <f t="shared" si="2"/>
        <v>19.594736414151406</v>
      </c>
      <c r="F31" s="26">
        <f t="shared" si="3"/>
        <v>18.820000070145547</v>
      </c>
      <c r="G31" s="26">
        <f t="shared" si="4"/>
        <v>17.999999535124868</v>
      </c>
      <c r="H31" s="26">
        <f t="shared" si="5"/>
        <v>14.639999774245114</v>
      </c>
      <c r="I31" s="1"/>
    </row>
    <row r="32" spans="2:10" x14ac:dyDescent="0.3">
      <c r="B32" s="25" t="s">
        <v>69</v>
      </c>
      <c r="C32" s="25" t="s">
        <v>4</v>
      </c>
      <c r="D32" s="26">
        <f>D20/D11*100</f>
        <v>48.622216949722485</v>
      </c>
      <c r="E32" s="26">
        <f>E20/E11*100</f>
        <v>41.981763922031163</v>
      </c>
      <c r="F32" s="26">
        <f>F20/F11*100</f>
        <v>30.932151432365433</v>
      </c>
      <c r="G32" s="26">
        <f>G20/G11*100</f>
        <v>29.350093267093779</v>
      </c>
      <c r="H32" s="26">
        <f>H20/H11*100</f>
        <v>30.318327156196222</v>
      </c>
      <c r="I32" s="1"/>
    </row>
    <row r="33" spans="2:9" ht="28" x14ac:dyDescent="0.3">
      <c r="B33" s="25" t="s">
        <v>70</v>
      </c>
      <c r="C33" s="25" t="s">
        <v>4</v>
      </c>
      <c r="D33" s="26">
        <f>D22/D11*100</f>
        <v>19.345439649711345</v>
      </c>
      <c r="E33" s="26">
        <f>E22/E11*100</f>
        <v>26.795978657340953</v>
      </c>
      <c r="F33" s="26">
        <f>F22/F11*100</f>
        <v>34.378719501941148</v>
      </c>
      <c r="G33" s="26">
        <f>G22/G11*100</f>
        <v>31.097083823979776</v>
      </c>
      <c r="H33" s="26">
        <f>H22/H11*100</f>
        <v>42.213166677914344</v>
      </c>
      <c r="I33" s="1"/>
    </row>
    <row r="34" spans="2:9" x14ac:dyDescent="0.3">
      <c r="I34" s="1"/>
    </row>
    <row r="35" spans="2:9" ht="25" customHeight="1" x14ac:dyDescent="0.3">
      <c r="B35" s="82" t="s">
        <v>144</v>
      </c>
      <c r="C35" s="82"/>
      <c r="D35" s="82"/>
      <c r="E35" s="82"/>
      <c r="F35" s="82"/>
      <c r="G35" s="82"/>
      <c r="H35" s="82"/>
      <c r="I35" s="1"/>
    </row>
    <row r="36" spans="2:9" ht="13.75" customHeight="1" x14ac:dyDescent="0.3">
      <c r="B36" s="70" t="s">
        <v>140</v>
      </c>
      <c r="C36" s="71" t="s">
        <v>50</v>
      </c>
      <c r="D36" s="72">
        <v>2016</v>
      </c>
      <c r="E36" s="72">
        <v>2017</v>
      </c>
      <c r="F36" s="72">
        <v>2018</v>
      </c>
      <c r="G36" s="72">
        <v>2019</v>
      </c>
      <c r="H36" s="72">
        <v>2020</v>
      </c>
      <c r="I36" s="1"/>
    </row>
    <row r="37" spans="2:9" x14ac:dyDescent="0.3">
      <c r="B37" s="18" t="s">
        <v>130</v>
      </c>
      <c r="C37" s="6" t="s">
        <v>71</v>
      </c>
      <c r="D37" s="26">
        <f>D18/D7/D4*1000</f>
        <v>1109.5786861763822</v>
      </c>
      <c r="E37" s="26">
        <f>E18/E7/E4*1000</f>
        <v>1087.2969582474377</v>
      </c>
      <c r="F37" s="26">
        <f>F18/F7/F4*1000</f>
        <v>1070.1577123944246</v>
      </c>
      <c r="G37" s="26">
        <f>G18/G7/G4*1000</f>
        <v>1057.5758650711607</v>
      </c>
      <c r="H37" s="26">
        <f>H18/H7/H4*1000</f>
        <v>1117.6689382282427</v>
      </c>
      <c r="I37" s="1"/>
    </row>
    <row r="38" spans="2:9" x14ac:dyDescent="0.3">
      <c r="B38" s="18" t="s">
        <v>131</v>
      </c>
      <c r="C38" s="6" t="s">
        <v>71</v>
      </c>
      <c r="D38" s="26">
        <f>D21/D7/D4*1000</f>
        <v>486.36229392460444</v>
      </c>
      <c r="E38" s="26">
        <f>E21/E7/E4*1000</f>
        <v>406.8981683391944</v>
      </c>
      <c r="F38" s="26">
        <f>F21/F7/F4*1000</f>
        <v>395.74317631809532</v>
      </c>
      <c r="G38" s="26">
        <f>G21/G7/G4*1000</f>
        <v>389.34875293948085</v>
      </c>
      <c r="H38" s="26">
        <f>H21/H7/H4*1000</f>
        <v>323.85316569992892</v>
      </c>
      <c r="I38" s="1"/>
    </row>
    <row r="39" spans="2:9" x14ac:dyDescent="0.3">
      <c r="B39" s="18" t="s">
        <v>132</v>
      </c>
      <c r="C39" s="6" t="s">
        <v>71</v>
      </c>
      <c r="D39" s="26">
        <f>D20/D7/D4*1000</f>
        <v>445.83209348049979</v>
      </c>
      <c r="E39" s="26">
        <f>E20/E7/E4*1000</f>
        <v>415.31373812973317</v>
      </c>
      <c r="F39" s="26">
        <f>F20/F7/F4*1000</f>
        <v>319.41225495346379</v>
      </c>
      <c r="G39" s="26">
        <f>G20/G7/G4*1000</f>
        <v>324.45730319409381</v>
      </c>
      <c r="H39" s="26">
        <f>H20/H7/H4*1000</f>
        <v>331.81677394246083</v>
      </c>
      <c r="I39" s="1"/>
    </row>
    <row r="40" spans="2:9" ht="28" x14ac:dyDescent="0.3">
      <c r="B40" s="18" t="s">
        <v>133</v>
      </c>
      <c r="C40" s="6" t="s">
        <v>71</v>
      </c>
      <c r="D40" s="26">
        <f>D22/D7/D4*1000</f>
        <v>177.38429877127811</v>
      </c>
      <c r="E40" s="26">
        <f>E22/E7/E4*1000</f>
        <v>265.08505177851009</v>
      </c>
      <c r="F40" s="26">
        <f>F22/F7/F4*1000</f>
        <v>355.00228112286555</v>
      </c>
      <c r="G40" s="26">
        <f>G22/G7/G4*1000</f>
        <v>343.76980893758594</v>
      </c>
      <c r="H40" s="26">
        <f>H22/H7/H4*1000</f>
        <v>461.99899858585297</v>
      </c>
      <c r="I40" s="1"/>
    </row>
    <row r="41" spans="2:9" x14ac:dyDescent="0.3">
      <c r="I41" s="1"/>
    </row>
    <row r="42" spans="2:9" ht="25" customHeight="1" x14ac:dyDescent="0.3">
      <c r="B42" s="82" t="s">
        <v>145</v>
      </c>
      <c r="C42" s="82"/>
      <c r="D42" s="82"/>
      <c r="E42" s="82"/>
      <c r="F42" s="82"/>
      <c r="G42" s="82"/>
      <c r="H42" s="82"/>
      <c r="I42" s="1"/>
    </row>
    <row r="43" spans="2:9" ht="13.75" customHeight="1" x14ac:dyDescent="0.3">
      <c r="B43" s="70" t="s">
        <v>140</v>
      </c>
      <c r="C43" s="71" t="s">
        <v>50</v>
      </c>
      <c r="D43" s="72">
        <v>2016</v>
      </c>
      <c r="E43" s="72">
        <v>2017</v>
      </c>
      <c r="F43" s="72">
        <v>2018</v>
      </c>
      <c r="G43" s="72">
        <v>2019</v>
      </c>
      <c r="H43" s="72">
        <v>2020</v>
      </c>
      <c r="I43" s="75"/>
    </row>
    <row r="44" spans="2:9" x14ac:dyDescent="0.3">
      <c r="B44" s="18" t="s">
        <v>134</v>
      </c>
      <c r="C44" s="6" t="s">
        <v>72</v>
      </c>
      <c r="D44" s="26">
        <f>D18/D5/D4*1000</f>
        <v>91262.939712940686</v>
      </c>
      <c r="E44" s="26">
        <f>E18/E5/E4*1000</f>
        <v>87573.655925156156</v>
      </c>
      <c r="F44" s="26">
        <f>F18/F5/F4*1000</f>
        <v>84770.826945953566</v>
      </c>
      <c r="G44" s="26">
        <f>G18/G5/G4*1000</f>
        <v>82109.776626722509</v>
      </c>
      <c r="H44" s="26" t="e">
        <f>H18/H5/H4*1000</f>
        <v>#VALUE!</v>
      </c>
      <c r="I44" s="30"/>
    </row>
    <row r="45" spans="2:9" x14ac:dyDescent="0.3">
      <c r="B45" s="18" t="s">
        <v>135</v>
      </c>
      <c r="C45" s="6" t="s">
        <v>72</v>
      </c>
      <c r="D45" s="26">
        <f>D21/D5/D4*1000</f>
        <v>40003.339341391096</v>
      </c>
      <c r="E45" s="26">
        <f>E21/E5/E4*1000</f>
        <v>32772.610941677725</v>
      </c>
      <c r="F45" s="26">
        <f>F21/F5/F4*1000</f>
        <v>31348.161047816433</v>
      </c>
      <c r="G45" s="26">
        <f>G21/G5/G4*1000</f>
        <v>30228.884933567042</v>
      </c>
      <c r="H45" s="26" t="e">
        <f>H21/H5/H4*1000</f>
        <v>#VALUE!</v>
      </c>
      <c r="I45" s="30"/>
    </row>
    <row r="46" spans="2:9" x14ac:dyDescent="0.3">
      <c r="B46" s="18" t="s">
        <v>136</v>
      </c>
      <c r="C46" s="6" t="s">
        <v>72</v>
      </c>
      <c r="D46" s="26">
        <f>D20/D5/D4*1000</f>
        <v>36669.726966021677</v>
      </c>
      <c r="E46" s="26">
        <f>E20/E5/E4*1000</f>
        <v>33450.422286279187</v>
      </c>
      <c r="F46" s="26">
        <f>F20/F5/F4*1000</f>
        <v>25301.729525916129</v>
      </c>
      <c r="G46" s="26">
        <f>G20/G5/G4*1000</f>
        <v>25190.738149440684</v>
      </c>
      <c r="H46" s="26" t="e">
        <f>H20/H5/H4*1000</f>
        <v>#VALUE!</v>
      </c>
      <c r="I46" s="30"/>
    </row>
    <row r="47" spans="2:9" ht="28" x14ac:dyDescent="0.3">
      <c r="B47" s="18" t="s">
        <v>137</v>
      </c>
      <c r="C47" s="6" t="s">
        <v>72</v>
      </c>
      <c r="D47" s="26">
        <f>D22/D5/D4*1000</f>
        <v>14589.873405527922</v>
      </c>
      <c r="E47" s="26">
        <f>E22/E5/E4*1000</f>
        <v>21350.622697199247</v>
      </c>
      <c r="F47" s="26">
        <f>F22/F5/F4*1000</f>
        <v>28120.936372221004</v>
      </c>
      <c r="G47" s="26">
        <f>G22/G5/G4*1000</f>
        <v>26690.153543714776</v>
      </c>
      <c r="H47" s="26" t="e">
        <f>H22/H5/H4*1000</f>
        <v>#VALUE!</v>
      </c>
      <c r="I47" s="30"/>
    </row>
    <row r="48" spans="2:9" x14ac:dyDescent="0.3">
      <c r="C48" s="36"/>
      <c r="D48" s="28"/>
      <c r="E48" s="28"/>
      <c r="F48" s="28"/>
      <c r="G48" s="28"/>
      <c r="H48" s="28"/>
      <c r="I48" s="28"/>
    </row>
    <row r="49" spans="2:9" ht="25" customHeight="1" x14ac:dyDescent="0.3">
      <c r="B49" s="82" t="s">
        <v>146</v>
      </c>
      <c r="C49" s="82"/>
      <c r="D49" s="82"/>
      <c r="E49" s="82"/>
      <c r="F49" s="82"/>
      <c r="G49" s="82"/>
      <c r="H49" s="82"/>
      <c r="I49" s="30"/>
    </row>
    <row r="50" spans="2:9" x14ac:dyDescent="0.3">
      <c r="B50" s="70" t="s">
        <v>140</v>
      </c>
      <c r="C50" s="71" t="s">
        <v>50</v>
      </c>
      <c r="D50" s="72">
        <v>2016</v>
      </c>
      <c r="E50" s="72">
        <v>2017</v>
      </c>
      <c r="F50" s="72">
        <v>2018</v>
      </c>
      <c r="G50" s="72">
        <v>2019</v>
      </c>
      <c r="H50" s="72">
        <v>2020</v>
      </c>
      <c r="I50" s="75"/>
    </row>
    <row r="51" spans="2:9" x14ac:dyDescent="0.3">
      <c r="B51" s="18" t="s">
        <v>73</v>
      </c>
      <c r="C51" s="6" t="s">
        <v>74</v>
      </c>
      <c r="D51" s="26">
        <f>D21/D7/D4/D9*1000</f>
        <v>12.159057348115111</v>
      </c>
      <c r="E51" s="26">
        <f>E21/E7/E4/E9*1000</f>
        <v>10.172454208479859</v>
      </c>
      <c r="F51" s="26">
        <f>F21/F7/F4/F9*1000</f>
        <v>9.8935794079523838</v>
      </c>
      <c r="G51" s="26">
        <f>G21/G7/G4/G9*1000</f>
        <v>9.7337188234870204</v>
      </c>
      <c r="H51" s="26">
        <f>H21/H7/H4/H9*1000</f>
        <v>8.0963291424982238</v>
      </c>
      <c r="I51" s="30"/>
    </row>
    <row r="52" spans="2:9" x14ac:dyDescent="0.3">
      <c r="B52" s="29" t="s">
        <v>75</v>
      </c>
      <c r="C52" s="6" t="s">
        <v>76</v>
      </c>
      <c r="D52" s="26">
        <f>D21/D5/D4/D9*1000</f>
        <v>1000.0834835347774</v>
      </c>
      <c r="E52" s="26">
        <f t="shared" ref="E52:H52" si="6">E21/E5/E4/E9*1000</f>
        <v>819.31527354194316</v>
      </c>
      <c r="F52" s="26">
        <f t="shared" si="6"/>
        <v>783.70402619541085</v>
      </c>
      <c r="G52" s="26">
        <f t="shared" si="6"/>
        <v>755.72212333917594</v>
      </c>
      <c r="H52" s="26" t="e">
        <f t="shared" si="6"/>
        <v>#VALUE!</v>
      </c>
      <c r="I52" s="30"/>
    </row>
    <row r="53" spans="2:9" x14ac:dyDescent="0.3">
      <c r="B53" s="18" t="s">
        <v>77</v>
      </c>
      <c r="C53" s="6" t="s">
        <v>72</v>
      </c>
      <c r="D53" s="26">
        <f>('veri- '!D28-'veri- '!D17*3/100)/D5/365*1000</f>
        <v>35002.922047065855</v>
      </c>
      <c r="E53" s="26">
        <f>('veri- '!E28-'veri- '!E17*3/100)/E5/365*1000</f>
        <v>27755.047513060861</v>
      </c>
      <c r="F53" s="26">
        <f>('veri- '!F28-'veri- '!F17*3/100)/F5/365*1000</f>
        <v>26351.110952549247</v>
      </c>
      <c r="G53" s="26">
        <f>('veri- '!G28-'veri- '!G17*3/100)/G5/365*1000</f>
        <v>25190.737314522008</v>
      </c>
      <c r="H53" s="26" t="e">
        <f>('veri- '!H28-'veri- '!H17*3/100)/H5/365*1000</f>
        <v>#VALUE!</v>
      </c>
      <c r="I53" s="30"/>
    </row>
    <row r="54" spans="2:9" x14ac:dyDescent="0.3">
      <c r="B54" s="29" t="s">
        <v>78</v>
      </c>
      <c r="C54" s="6" t="s">
        <v>72</v>
      </c>
      <c r="D54" s="30">
        <f>('veri- '!D17*'veri- '!D25/100)/D7/365*1000</f>
        <v>60.795285240897556</v>
      </c>
      <c r="E54" s="30">
        <f>('veri- '!E17*'veri- '!E25/100)/E7/365*1000</f>
        <v>62.297061783183388</v>
      </c>
      <c r="F54" s="30">
        <f>('veri- '!F17*'veri- '!F25/100)/F7/365*1000</f>
        <v>63.083396627484937</v>
      </c>
      <c r="G54" s="30">
        <f>('veri- '!G17*'veri- '!G25/100)/G7/365*1000</f>
        <v>64.891460499159393</v>
      </c>
      <c r="H54" s="30">
        <f>('veri- '!H17*'veri- '!H25/100)/H7/365*1000</f>
        <v>66.363354650385133</v>
      </c>
      <c r="I54" s="30"/>
    </row>
    <row r="55" spans="2:9" ht="29.15" customHeight="1" x14ac:dyDescent="0.3">
      <c r="B55" s="18" t="s">
        <v>79</v>
      </c>
      <c r="C55" s="31" t="s">
        <v>80</v>
      </c>
      <c r="D55" s="78">
        <f>(18*D5+0.8*D7+25*D6)*D9*10</f>
        <v>93520496</v>
      </c>
      <c r="E55" s="78">
        <f>(18*E5+0.8*E7+25*E6)*E9*10</f>
        <v>94536192.000000015</v>
      </c>
      <c r="F55" s="78">
        <f>(18*F5+0.8*F7+25*F6)*F9*10</f>
        <v>95556880</v>
      </c>
      <c r="G55" s="78">
        <f>(18*G5+0.8*G7+25*G6)*G9*10</f>
        <v>96661040</v>
      </c>
      <c r="H55" s="78" t="e">
        <f>(18*H5+0.8*H7+25*H6)*H9*10</f>
        <v>#VALUE!</v>
      </c>
      <c r="I55" s="30"/>
    </row>
    <row r="56" spans="2:9" x14ac:dyDescent="0.3">
      <c r="B56" s="32" t="s">
        <v>81</v>
      </c>
      <c r="C56" s="32"/>
      <c r="D56" s="26">
        <f>(D21/D4*1000)/D55</f>
        <v>0.99758867772905624</v>
      </c>
      <c r="E56" s="26">
        <f>(E21/E4*1000)/E55</f>
        <v>0.83143310001403681</v>
      </c>
      <c r="F56" s="26">
        <f>(F21/F4*1000)/F55</f>
        <v>0.80616875476579086</v>
      </c>
      <c r="G56" s="26">
        <f>(G21/G4*1000)/G55</f>
        <v>0.7901769271429715</v>
      </c>
      <c r="H56" s="26" t="e">
        <f>(H21/H4*1000)/H55</f>
        <v>#VALUE!</v>
      </c>
      <c r="I56" s="30"/>
    </row>
    <row r="58" spans="2:9" ht="25" customHeight="1" x14ac:dyDescent="0.3">
      <c r="B58" s="82" t="s">
        <v>147</v>
      </c>
      <c r="C58" s="82"/>
      <c r="D58" s="82"/>
      <c r="E58" s="82"/>
      <c r="F58" s="82"/>
      <c r="G58" s="82"/>
      <c r="H58" s="82"/>
      <c r="I58" s="1"/>
    </row>
    <row r="59" spans="2:9" ht="19.75" customHeight="1" x14ac:dyDescent="0.3">
      <c r="B59" s="70" t="s">
        <v>140</v>
      </c>
      <c r="C59" s="71" t="s">
        <v>50</v>
      </c>
      <c r="D59" s="72">
        <v>2016</v>
      </c>
      <c r="E59" s="72">
        <v>2017</v>
      </c>
      <c r="F59" s="72">
        <v>2018</v>
      </c>
      <c r="G59" s="72">
        <v>2019</v>
      </c>
      <c r="H59" s="72">
        <v>2020</v>
      </c>
      <c r="I59" s="1"/>
    </row>
    <row r="60" spans="2:9" ht="28" x14ac:dyDescent="0.3">
      <c r="B60" s="18" t="s">
        <v>82</v>
      </c>
      <c r="C60" s="19" t="s">
        <v>71</v>
      </c>
      <c r="D60" s="26">
        <f>D24/D7/365*1000</f>
        <v>243.18114267750795</v>
      </c>
      <c r="E60" s="26">
        <f>E24/E7/365*1000</f>
        <v>207.65686551912185</v>
      </c>
      <c r="F60" s="26">
        <f>F24/F7/365*1000</f>
        <v>109.13426619518066</v>
      </c>
      <c r="G60" s="26">
        <f>G24/G7/365*1000</f>
        <v>108.15243486356256</v>
      </c>
      <c r="H60" s="26">
        <f>H24/H7/365*1000</f>
        <v>110.60559177451043</v>
      </c>
      <c r="I60" s="1"/>
    </row>
    <row r="61" spans="2:9" ht="28" x14ac:dyDescent="0.3">
      <c r="B61" s="18" t="s">
        <v>83</v>
      </c>
      <c r="C61" s="19" t="s">
        <v>71</v>
      </c>
      <c r="D61" s="26">
        <f>D23/D7/365*1000</f>
        <v>202.6509508029919</v>
      </c>
      <c r="E61" s="26">
        <f>E23/E7/365*1000</f>
        <v>207.65687261061132</v>
      </c>
      <c r="F61" s="26">
        <f>F23/F7/365*1000</f>
        <v>210.27798875828307</v>
      </c>
      <c r="G61" s="26">
        <f>G23/G7/365*1000</f>
        <v>216.30486833053129</v>
      </c>
      <c r="H61" s="26">
        <f>H23/H7/365*1000</f>
        <v>221.21118216795045</v>
      </c>
      <c r="I61" s="1"/>
    </row>
    <row r="62" spans="2:9" ht="28" x14ac:dyDescent="0.3">
      <c r="B62" s="18" t="s">
        <v>84</v>
      </c>
      <c r="C62" s="19" t="s">
        <v>4</v>
      </c>
      <c r="D62" s="26">
        <f>D24/D11*100</f>
        <v>26.521209330266348</v>
      </c>
      <c r="E62" s="26">
        <f>E24/E11*100</f>
        <v>20.990881602595898</v>
      </c>
      <c r="F62" s="26">
        <f>F24/F11*100</f>
        <v>10.568654132889277</v>
      </c>
      <c r="G62" s="26">
        <f>G24/G11*100</f>
        <v>9.7833644644761026</v>
      </c>
      <c r="H62" s="26">
        <f>H24/H11*100</f>
        <v>10.106109094128525</v>
      </c>
      <c r="I62" s="1"/>
    </row>
    <row r="63" spans="2:9" ht="28" x14ac:dyDescent="0.3">
      <c r="B63" s="18" t="s">
        <v>85</v>
      </c>
      <c r="C63" s="19" t="s">
        <v>4</v>
      </c>
      <c r="D63" s="26">
        <f>D23/D11*100</f>
        <v>22.101007619456141</v>
      </c>
      <c r="E63" s="26">
        <f>E23/E11*100</f>
        <v>20.990882319435261</v>
      </c>
      <c r="F63" s="26">
        <f>F23/F11*100</f>
        <v>20.363497299476158</v>
      </c>
      <c r="G63" s="26">
        <f>G23/G11*100</f>
        <v>19.566728802617682</v>
      </c>
      <c r="H63" s="26">
        <f>H23/H11*100</f>
        <v>20.212218062067695</v>
      </c>
      <c r="I63" s="1"/>
    </row>
    <row r="64" spans="2:9" x14ac:dyDescent="0.3">
      <c r="I64" s="1"/>
    </row>
    <row r="65" spans="2:10" ht="25.25" customHeight="1" x14ac:dyDescent="0.3">
      <c r="B65" s="82" t="s">
        <v>148</v>
      </c>
      <c r="C65" s="82"/>
      <c r="D65" s="82"/>
      <c r="E65" s="82"/>
      <c r="F65" s="82"/>
      <c r="G65" s="82"/>
      <c r="H65" s="82"/>
      <c r="I65" s="1"/>
      <c r="J65" s="73"/>
    </row>
    <row r="66" spans="2:10" x14ac:dyDescent="0.3">
      <c r="B66" s="70" t="s">
        <v>140</v>
      </c>
      <c r="C66" s="71" t="s">
        <v>50</v>
      </c>
      <c r="D66" s="72">
        <v>2016</v>
      </c>
      <c r="E66" s="72">
        <v>2017</v>
      </c>
      <c r="F66" s="72">
        <v>2018</v>
      </c>
      <c r="G66" s="72">
        <v>2019</v>
      </c>
      <c r="H66" s="72">
        <v>2020</v>
      </c>
      <c r="I66" s="1"/>
      <c r="J66" s="33" t="s">
        <v>86</v>
      </c>
    </row>
    <row r="67" spans="2:10" x14ac:dyDescent="0.3">
      <c r="B67" s="18" t="s">
        <v>88</v>
      </c>
      <c r="C67" s="6" t="s">
        <v>87</v>
      </c>
      <c r="D67" s="21">
        <f>D21*'veri- '!D36</f>
        <v>73894295.202000007</v>
      </c>
      <c r="E67" s="21">
        <f>E21*'veri- '!E36</f>
        <v>65698243.954999998</v>
      </c>
      <c r="F67" s="21">
        <f>F21*'veri- '!F36</f>
        <v>90539201.368000001</v>
      </c>
      <c r="G67" s="21">
        <f>G21*'veri- '!G36</f>
        <v>61332596.820000008</v>
      </c>
      <c r="H67" s="21">
        <f>H21*'veri- '!H36</f>
        <v>57451108.645000011</v>
      </c>
      <c r="I67" s="1"/>
      <c r="J67" s="37" t="s">
        <v>89</v>
      </c>
    </row>
    <row r="68" spans="2:10" x14ac:dyDescent="0.3">
      <c r="B68" s="18" t="s">
        <v>90</v>
      </c>
      <c r="C68" s="6" t="s">
        <v>87</v>
      </c>
      <c r="D68" s="21">
        <f>D20*'veri- '!D37</f>
        <v>128293433.81400001</v>
      </c>
      <c r="E68" s="21">
        <f>E20*'veri- '!E37</f>
        <v>134114062.97</v>
      </c>
      <c r="F68" s="21">
        <f>F20*'veri- '!F37</f>
        <v>113472058</v>
      </c>
      <c r="G68" s="21">
        <f>G20*'veri- '!G37</f>
        <v>112907738.214</v>
      </c>
      <c r="H68" s="21">
        <f>H20*'veri- '!H37</f>
        <v>126857585.712</v>
      </c>
      <c r="I68" s="1"/>
      <c r="J68" s="37" t="s">
        <v>91</v>
      </c>
    </row>
    <row r="69" spans="2:10" x14ac:dyDescent="0.3">
      <c r="B69" s="18" t="s">
        <v>92</v>
      </c>
      <c r="C69" s="6" t="s">
        <v>87</v>
      </c>
      <c r="D69" s="21">
        <f>D22*'veri- '!D37</f>
        <v>51044420.370000005</v>
      </c>
      <c r="E69" s="21">
        <f>E22*'veri- '!E37</f>
        <v>85601871.700000003</v>
      </c>
      <c r="F69" s="21">
        <f>F22*'veri- '!F37</f>
        <v>126115510</v>
      </c>
      <c r="G69" s="21">
        <f>G22*'veri- '!G37</f>
        <v>119628287.64</v>
      </c>
      <c r="H69" s="21">
        <f>H22*'veri- '!H37</f>
        <v>176627832.48000002</v>
      </c>
      <c r="I69" s="1"/>
      <c r="J69" s="37" t="s">
        <v>93</v>
      </c>
    </row>
    <row r="70" spans="2:10" x14ac:dyDescent="0.3">
      <c r="B70" s="18" t="s">
        <v>94</v>
      </c>
      <c r="C70" s="19" t="s">
        <v>87</v>
      </c>
      <c r="D70" s="21">
        <f>D23*'veri- '!D37</f>
        <v>58315196.964000009</v>
      </c>
      <c r="E70" s="21">
        <f>E23*'veri- '!E37</f>
        <v>67057032.630000003</v>
      </c>
      <c r="F70" s="21">
        <f>F23*'veri- '!F37</f>
        <v>74701818</v>
      </c>
      <c r="G70" s="21">
        <f>G23*'veri- '!G37</f>
        <v>75271825.31400001</v>
      </c>
      <c r="H70" s="21">
        <f>H23*'veri- '!H37</f>
        <v>84571723.631999999</v>
      </c>
      <c r="I70" s="1"/>
      <c r="J70" s="37" t="s">
        <v>95</v>
      </c>
    </row>
    <row r="71" spans="2:10" x14ac:dyDescent="0.3">
      <c r="B71" s="18" t="s">
        <v>96</v>
      </c>
      <c r="C71" s="19" t="s">
        <v>87</v>
      </c>
      <c r="D71" s="21">
        <f>D68+D67+D69</f>
        <v>253232149.38600004</v>
      </c>
      <c r="E71" s="21">
        <f t="shared" ref="E71:H71" si="7">E68+E67+E69</f>
        <v>285414178.625</v>
      </c>
      <c r="F71" s="21">
        <f t="shared" si="7"/>
        <v>330126769.36800003</v>
      </c>
      <c r="G71" s="21">
        <f t="shared" si="7"/>
        <v>293868622.67400002</v>
      </c>
      <c r="H71" s="21">
        <f t="shared" si="7"/>
        <v>360936526.83700001</v>
      </c>
      <c r="I71" s="1"/>
      <c r="J71" s="37" t="s">
        <v>97</v>
      </c>
    </row>
    <row r="72" spans="2:10" x14ac:dyDescent="0.3">
      <c r="B72" s="18" t="s">
        <v>98</v>
      </c>
      <c r="C72" s="19" t="s">
        <v>4</v>
      </c>
      <c r="D72" s="22">
        <f>D68/D71*100</f>
        <v>50.662380003908268</v>
      </c>
      <c r="E72" s="22">
        <f t="shared" ref="E72:H72" si="8">E68/E71*100</f>
        <v>46.989278393982595</v>
      </c>
      <c r="F72" s="22">
        <f t="shared" si="8"/>
        <v>34.372268028197993</v>
      </c>
      <c r="G72" s="22">
        <f t="shared" si="8"/>
        <v>38.421161533551327</v>
      </c>
      <c r="H72" s="22">
        <f t="shared" si="8"/>
        <v>35.146785176799042</v>
      </c>
      <c r="I72" s="1"/>
      <c r="J72" s="37" t="s">
        <v>99</v>
      </c>
    </row>
    <row r="73" spans="2:10" x14ac:dyDescent="0.3">
      <c r="B73" s="18" t="s">
        <v>100</v>
      </c>
      <c r="C73" s="19" t="s">
        <v>4</v>
      </c>
      <c r="D73" s="22">
        <f>D67/D71*100</f>
        <v>29.180455712739473</v>
      </c>
      <c r="E73" s="22">
        <f t="shared" ref="E73:H73" si="9">E67/E71*100</f>
        <v>23.018563503574086</v>
      </c>
      <c r="F73" s="22">
        <f t="shared" si="9"/>
        <v>27.425586098737071</v>
      </c>
      <c r="G73" s="22">
        <f t="shared" si="9"/>
        <v>20.870753829352736</v>
      </c>
      <c r="H73" s="22">
        <f t="shared" si="9"/>
        <v>15.917233190129604</v>
      </c>
      <c r="I73" s="1"/>
      <c r="J73" s="37" t="s">
        <v>101</v>
      </c>
    </row>
    <row r="74" spans="2:10" x14ac:dyDescent="0.3">
      <c r="B74" s="18" t="s">
        <v>102</v>
      </c>
      <c r="C74" s="19" t="s">
        <v>4</v>
      </c>
      <c r="D74" s="22">
        <f>D69/D71*100</f>
        <v>20.157164283352248</v>
      </c>
      <c r="E74" s="22">
        <f t="shared" ref="E74:H74" si="10">E69/E71*100</f>
        <v>29.992158102443323</v>
      </c>
      <c r="F74" s="22">
        <f t="shared" si="10"/>
        <v>38.202145873064929</v>
      </c>
      <c r="G74" s="22">
        <f t="shared" si="10"/>
        <v>40.708084637095929</v>
      </c>
      <c r="H74" s="22">
        <f t="shared" si="10"/>
        <v>48.935981633071364</v>
      </c>
      <c r="I74" s="1"/>
      <c r="J74" s="37" t="s">
        <v>103</v>
      </c>
    </row>
    <row r="75" spans="2:10" ht="27" customHeight="1" x14ac:dyDescent="0.3">
      <c r="B75" s="18" t="s">
        <v>104</v>
      </c>
      <c r="C75" s="19" t="s">
        <v>4</v>
      </c>
      <c r="D75" s="22">
        <f>D70/D71*100</f>
        <v>23.028354458702854</v>
      </c>
      <c r="E75" s="22">
        <f t="shared" ref="E75:H75" si="11">E70/E71*100</f>
        <v>23.494639598162674</v>
      </c>
      <c r="F75" s="22">
        <f t="shared" si="11"/>
        <v>22.628221923054088</v>
      </c>
      <c r="G75" s="22">
        <f t="shared" si="11"/>
        <v>25.614107633907551</v>
      </c>
      <c r="H75" s="22">
        <f t="shared" si="11"/>
        <v>23.431190069103987</v>
      </c>
      <c r="I75" s="1"/>
      <c r="J75" s="37" t="s">
        <v>105</v>
      </c>
    </row>
    <row r="76" spans="2:10" x14ac:dyDescent="0.3">
      <c r="B76" s="36"/>
      <c r="C76" s="36"/>
      <c r="D76" s="36"/>
      <c r="E76" s="36"/>
      <c r="F76" s="36"/>
      <c r="G76" s="36"/>
      <c r="H76" s="36"/>
      <c r="I76" s="1"/>
      <c r="J76" s="36"/>
    </row>
    <row r="77" spans="2:10" ht="25" customHeight="1" x14ac:dyDescent="0.3">
      <c r="B77" s="82" t="s">
        <v>149</v>
      </c>
      <c r="C77" s="82"/>
      <c r="D77" s="82"/>
      <c r="E77" s="82"/>
      <c r="F77" s="82"/>
      <c r="G77" s="82"/>
      <c r="H77" s="82"/>
      <c r="I77" s="1"/>
    </row>
    <row r="78" spans="2:10" ht="15.65" customHeight="1" x14ac:dyDescent="0.3">
      <c r="B78" s="70" t="s">
        <v>140</v>
      </c>
      <c r="C78" s="71" t="s">
        <v>50</v>
      </c>
      <c r="D78" s="72">
        <v>2016</v>
      </c>
      <c r="E78" s="72">
        <v>2017</v>
      </c>
      <c r="F78" s="72">
        <v>2018</v>
      </c>
      <c r="G78" s="72">
        <v>2019</v>
      </c>
      <c r="H78" s="72">
        <v>2020</v>
      </c>
      <c r="I78" s="1"/>
    </row>
    <row r="79" spans="2:10" x14ac:dyDescent="0.3">
      <c r="B79" s="18" t="s">
        <v>106</v>
      </c>
      <c r="C79" s="6" t="s">
        <v>4</v>
      </c>
      <c r="D79" s="64">
        <f>D21/D10*100</f>
        <v>24.000000592024069</v>
      </c>
      <c r="E79" s="64">
        <f>E21/E10*100</f>
        <v>19.594736414151406</v>
      </c>
      <c r="F79" s="64">
        <f>F21/F10*100</f>
        <v>18.820000070145547</v>
      </c>
      <c r="G79" s="64">
        <f>G21/G10*100</f>
        <v>17.999999535124868</v>
      </c>
      <c r="H79" s="64">
        <f>H21/H10*100</f>
        <v>14.639999774245114</v>
      </c>
      <c r="I79" s="1"/>
      <c r="J79" s="19" t="s">
        <v>107</v>
      </c>
    </row>
    <row r="80" spans="2:10" x14ac:dyDescent="0.3">
      <c r="B80" s="18" t="s">
        <v>108</v>
      </c>
      <c r="C80" s="35" t="s">
        <v>110</v>
      </c>
      <c r="D80" s="65">
        <f>'veri- '!D17/'veri- '!D3/365*1000</f>
        <v>237.63882022677316</v>
      </c>
      <c r="E80" s="65">
        <f>'veri- '!E17/'veri- '!E3/365*1000</f>
        <v>241.16953790623538</v>
      </c>
      <c r="F80" s="65">
        <f>'veri- '!F17/'veri- '!F3/365*1000</f>
        <v>243.61365946701463</v>
      </c>
      <c r="G80" s="65">
        <f>'veri- '!G17/'veri- '!G3/365*1000</f>
        <v>246.49186674297906</v>
      </c>
      <c r="H80" s="65">
        <f>'veri- '!H17/'veri- '!H3/365*1000</f>
        <v>250.97230747766986</v>
      </c>
      <c r="I80" s="1"/>
      <c r="J80" s="19" t="s">
        <v>109</v>
      </c>
    </row>
    <row r="81" spans="2:10" x14ac:dyDescent="0.3">
      <c r="B81" s="18" t="s">
        <v>111</v>
      </c>
      <c r="C81" s="35" t="s">
        <v>158</v>
      </c>
      <c r="D81" s="64">
        <f>'veri- '!D17/'veri- '!D8/365*1000</f>
        <v>2026.5095080299184</v>
      </c>
      <c r="E81" s="64">
        <f>'veri- '!E17/'veri- '!E8/365*1000</f>
        <v>2076.568726106113</v>
      </c>
      <c r="F81" s="64">
        <f>'veri- '!F17/'veri- '!F8/365*1000</f>
        <v>2102.7798875828312</v>
      </c>
      <c r="G81" s="64">
        <f>'veri- '!G17/'veri- '!G8/365*1000</f>
        <v>2163.0486833053133</v>
      </c>
      <c r="H81" s="64">
        <f>'veri- '!H17/'veri- '!H8/365*1000</f>
        <v>2212.1118216795044</v>
      </c>
      <c r="I81" s="1"/>
      <c r="J81" s="19" t="s">
        <v>138</v>
      </c>
    </row>
    <row r="82" spans="2:10" x14ac:dyDescent="0.3">
      <c r="B82" s="18" t="s">
        <v>112</v>
      </c>
      <c r="C82" s="35" t="s">
        <v>110</v>
      </c>
      <c r="D82" s="65">
        <f>'veri- '!D19/'veri- '!D3/365*1000</f>
        <v>107.52397552117624</v>
      </c>
      <c r="E82" s="65">
        <f>'veri- '!E19/'veri- '!E3/365*1000</f>
        <v>114.89252058877904</v>
      </c>
      <c r="F82" s="65">
        <f>'veri- '!F19/'veri- '!F3/365*1000</f>
        <v>119.63252474970571</v>
      </c>
      <c r="G82" s="65">
        <f>'veri- '!G19/'veri- '!G3/365*1000</f>
        <v>125.97500033322015</v>
      </c>
      <c r="H82" s="65">
        <f>'veri- '!H19/'veri- '!H3/365*1000</f>
        <v>124.168612621823</v>
      </c>
      <c r="I82" s="1"/>
      <c r="J82" s="19" t="s">
        <v>113</v>
      </c>
    </row>
    <row r="83" spans="2:10" x14ac:dyDescent="0.3">
      <c r="B83" s="18" t="s">
        <v>114</v>
      </c>
      <c r="C83" s="35" t="s">
        <v>158</v>
      </c>
      <c r="D83" s="64">
        <f>'veri- '!D19/'veri- '!D8/365*1000</f>
        <v>916.93082185353626</v>
      </c>
      <c r="E83" s="64">
        <f>'veri- '!E19/'veri- '!E8/365*1000</f>
        <v>989.27176785867505</v>
      </c>
      <c r="F83" s="64">
        <f>'veri- '!F19/'veri- '!F8/365*1000</f>
        <v>1032.6221751884063</v>
      </c>
      <c r="G83" s="64">
        <f>'veri- '!G19/'veri- '!G8/365*1000</f>
        <v>1105.4728182341523</v>
      </c>
      <c r="H83" s="64">
        <f>'veri- '!H19/'veri- '!H8/365*1000</f>
        <v>1094.4428834512617</v>
      </c>
      <c r="I83" s="1"/>
      <c r="J83" s="19" t="s">
        <v>115</v>
      </c>
    </row>
    <row r="85" spans="2:10" ht="18" x14ac:dyDescent="0.3">
      <c r="B85" s="82" t="s">
        <v>150</v>
      </c>
      <c r="C85" s="82"/>
      <c r="D85" s="82"/>
      <c r="E85" s="82"/>
      <c r="F85" s="82"/>
      <c r="G85" s="82"/>
      <c r="H85" s="82"/>
      <c r="I85" s="1"/>
    </row>
    <row r="86" spans="2:10" x14ac:dyDescent="0.3">
      <c r="B86" s="70" t="s">
        <v>140</v>
      </c>
      <c r="C86" s="71" t="s">
        <v>50</v>
      </c>
      <c r="D86" s="72">
        <v>2016</v>
      </c>
      <c r="E86" s="72">
        <v>2017</v>
      </c>
      <c r="F86" s="72">
        <v>2018</v>
      </c>
      <c r="G86" s="72">
        <v>2019</v>
      </c>
      <c r="H86" s="72">
        <v>2020</v>
      </c>
      <c r="I86" s="1"/>
    </row>
    <row r="87" spans="2:10" x14ac:dyDescent="0.3">
      <c r="B87" s="39" t="s">
        <v>116</v>
      </c>
      <c r="C87" s="35" t="s">
        <v>156</v>
      </c>
      <c r="D87" s="56">
        <f>'veri- '!D32/D5*100</f>
        <v>35.889168074505399</v>
      </c>
      <c r="E87" s="56">
        <f>'veri- '!E32/E5*100</f>
        <v>30.187294651345088</v>
      </c>
      <c r="F87" s="56">
        <f>'veri- '!F32/F5*100</f>
        <v>20.468788150077316</v>
      </c>
      <c r="G87" s="56">
        <f>'veri- '!G32/G5*100</f>
        <v>16.464162741916336</v>
      </c>
      <c r="H87" s="56" t="e">
        <f>'veri- '!H32/H5*100</f>
        <v>#VALUE!</v>
      </c>
      <c r="I87" s="1"/>
      <c r="J87" s="35" t="s">
        <v>117</v>
      </c>
    </row>
    <row r="88" spans="2:10" x14ac:dyDescent="0.3">
      <c r="B88" s="39" t="s">
        <v>118</v>
      </c>
      <c r="C88" s="35" t="s">
        <v>157</v>
      </c>
      <c r="D88" s="57">
        <f>'veri- '!D33/D7*1000</f>
        <v>72.463012584583623</v>
      </c>
      <c r="E88" s="57">
        <f>'veri- '!E33/E7*1000</f>
        <v>62.250867111870377</v>
      </c>
      <c r="F88" s="57">
        <f>'veri- '!F33/F7*1000</f>
        <v>42.874976240502619</v>
      </c>
      <c r="G88" s="57">
        <f>'veri- '!G33/G7*1000</f>
        <v>35.26497155557368</v>
      </c>
      <c r="H88" s="57">
        <f>'veri- '!H33/H7*1000</f>
        <v>40.614587376560792</v>
      </c>
      <c r="I88" s="1"/>
      <c r="J88" s="35" t="s">
        <v>117</v>
      </c>
    </row>
    <row r="89" spans="2:10" x14ac:dyDescent="0.3">
      <c r="B89" s="35" t="s">
        <v>119</v>
      </c>
      <c r="C89" s="35" t="s">
        <v>120</v>
      </c>
      <c r="D89" s="56">
        <f>D87/13</f>
        <v>2.7607052365004154</v>
      </c>
      <c r="E89" s="56">
        <f t="shared" ref="E89:H89" si="12">E87/13</f>
        <v>2.3220995885650066</v>
      </c>
      <c r="F89" s="56">
        <f t="shared" si="12"/>
        <v>1.5745221653905628</v>
      </c>
      <c r="G89" s="56">
        <f t="shared" si="12"/>
        <v>1.2664740570704873</v>
      </c>
      <c r="H89" s="56" t="e">
        <f t="shared" si="12"/>
        <v>#VALUE!</v>
      </c>
      <c r="I89" s="1"/>
      <c r="J89" s="35" t="s">
        <v>120</v>
      </c>
    </row>
    <row r="90" spans="2:10" x14ac:dyDescent="0.3">
      <c r="B90" s="35" t="s">
        <v>121</v>
      </c>
      <c r="C90" s="35" t="s">
        <v>122</v>
      </c>
      <c r="D90" s="56">
        <f>D88/3</f>
        <v>24.154337528194542</v>
      </c>
      <c r="E90" s="56">
        <f t="shared" ref="E90:H90" si="13">E88/3</f>
        <v>20.750289037290127</v>
      </c>
      <c r="F90" s="56">
        <f t="shared" si="13"/>
        <v>14.291658746834207</v>
      </c>
      <c r="G90" s="56">
        <f t="shared" si="13"/>
        <v>11.75499051852456</v>
      </c>
      <c r="H90" s="56">
        <f t="shared" si="13"/>
        <v>13.538195792186931</v>
      </c>
      <c r="I90" s="1"/>
      <c r="J90" s="35" t="s">
        <v>122</v>
      </c>
    </row>
    <row r="92" spans="2:10" ht="18" x14ac:dyDescent="0.3">
      <c r="B92" s="82" t="s">
        <v>151</v>
      </c>
      <c r="C92" s="82"/>
      <c r="D92" s="82"/>
      <c r="E92" s="82"/>
      <c r="F92" s="82"/>
      <c r="G92" s="82"/>
      <c r="H92" s="82"/>
      <c r="I92" s="1"/>
    </row>
    <row r="93" spans="2:10" x14ac:dyDescent="0.3">
      <c r="B93" s="70" t="s">
        <v>140</v>
      </c>
      <c r="C93" s="71" t="s">
        <v>50</v>
      </c>
      <c r="D93" s="72">
        <v>2016</v>
      </c>
      <c r="E93" s="72">
        <v>2017</v>
      </c>
      <c r="F93" s="72">
        <v>2018</v>
      </c>
      <c r="G93" s="72">
        <v>2019</v>
      </c>
      <c r="H93" s="72">
        <v>2020</v>
      </c>
      <c r="I93" s="1"/>
    </row>
    <row r="94" spans="2:10" x14ac:dyDescent="0.3">
      <c r="B94" s="32" t="s">
        <v>123</v>
      </c>
      <c r="C94" s="35" t="s">
        <v>4</v>
      </c>
      <c r="D94" s="34">
        <f>'veri- '!D38/'veri- '!D6*100</f>
        <v>0.24740800452795242</v>
      </c>
      <c r="E94" s="34">
        <f>'veri- '!E38/'veri- '!E6*100</f>
        <v>0.55037609032839108</v>
      </c>
      <c r="F94" s="34">
        <f>'veri- '!F38/'veri- '!F6*100</f>
        <v>0.47692683323838203</v>
      </c>
      <c r="G94" s="34">
        <f>'veri- '!G38/'veri- '!G6*100</f>
        <v>0.52637827996992126</v>
      </c>
      <c r="H94" s="34" t="e">
        <f>'veri- '!H38/'veri- '!H6*100</f>
        <v>#VALUE!</v>
      </c>
      <c r="I94" s="1"/>
      <c r="J94" s="1" t="s">
        <v>124</v>
      </c>
    </row>
    <row r="95" spans="2:10" x14ac:dyDescent="0.3">
      <c r="B95" s="32" t="s">
        <v>125</v>
      </c>
      <c r="C95" s="35" t="s">
        <v>4</v>
      </c>
      <c r="D95" s="56">
        <f>'veri- '!D39/'veri- '!D12*100</f>
        <v>25.463917525773194</v>
      </c>
      <c r="E95" s="56">
        <f>'veri- '!E39/'veri- '!E12*100</f>
        <v>26.849542809642564</v>
      </c>
      <c r="F95" s="56">
        <f>'veri- '!F39/'veri- '!F12*100</f>
        <v>11.46817895400126</v>
      </c>
      <c r="G95" s="56">
        <f>'veri- '!G39/'veri- '!G12*100</f>
        <v>8.7063453025086091</v>
      </c>
      <c r="H95" s="56">
        <f>'veri- '!H39/'veri- '!H12*100</f>
        <v>5.3078556263269645</v>
      </c>
      <c r="I95" s="56"/>
      <c r="J95" s="32" t="s">
        <v>126</v>
      </c>
    </row>
    <row r="96" spans="2:10" x14ac:dyDescent="0.3">
      <c r="B96" s="32" t="s">
        <v>127</v>
      </c>
      <c r="C96" s="35" t="s">
        <v>4</v>
      </c>
      <c r="D96" s="34">
        <f>'veri- '!D40/'veri- '!D8*100</f>
        <v>0.91334674854813314</v>
      </c>
      <c r="E96" s="34">
        <f>'veri- '!E40/'veri- '!E8*100</f>
        <v>0.64968680436920845</v>
      </c>
      <c r="F96" s="34">
        <f>'veri- '!F40/'veri- '!F8*100</f>
        <v>0.21627564099271032</v>
      </c>
      <c r="G96" s="34">
        <f>'veri- '!G40/'veri- '!G8*100</f>
        <v>0.4404298268866097</v>
      </c>
      <c r="H96" s="34">
        <f>'veri- '!H40/'veri- '!H8*100</f>
        <v>0.27825806419090926</v>
      </c>
      <c r="I96" s="34"/>
      <c r="J96" s="32" t="s">
        <v>128</v>
      </c>
    </row>
  </sheetData>
  <mergeCells count="12">
    <mergeCell ref="B1:H1"/>
    <mergeCell ref="B16:H16"/>
    <mergeCell ref="B26:H26"/>
    <mergeCell ref="B35:H35"/>
    <mergeCell ref="B42:H42"/>
    <mergeCell ref="B2:H2"/>
    <mergeCell ref="B92:H92"/>
    <mergeCell ref="B49:H49"/>
    <mergeCell ref="B58:H58"/>
    <mergeCell ref="B65:H65"/>
    <mergeCell ref="B77:H77"/>
    <mergeCell ref="B85:H85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6BFB59621223041ACA26C1625C88120" ma:contentTypeVersion="1" ma:contentTypeDescription="Yeni belge oluşturun." ma:contentTypeScope="" ma:versionID="d640aabe8aa7dfcf6ddfc0e8f64e7d9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90A08C-B53D-4B0C-BBB0-EF186FAD45A6}"/>
</file>

<file path=customXml/itemProps2.xml><?xml version="1.0" encoding="utf-8"?>
<ds:datastoreItem xmlns:ds="http://schemas.openxmlformats.org/officeDocument/2006/customXml" ds:itemID="{E0C3715E-788F-426E-9641-6EB6544E8A05}"/>
</file>

<file path=customXml/itemProps3.xml><?xml version="1.0" encoding="utf-8"?>
<ds:datastoreItem xmlns:ds="http://schemas.openxmlformats.org/officeDocument/2006/customXml" ds:itemID="{ED1E68B5-D61A-413F-8072-9E357E252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veri- </vt:lpstr>
      <vt:lpstr>PG_analiz-örnek</vt:lpstr>
    </vt:vector>
  </TitlesOfParts>
  <Company>By CEYLAN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nerde</dc:creator>
  <cp:lastModifiedBy>Lenovo</cp:lastModifiedBy>
  <dcterms:created xsi:type="dcterms:W3CDTF">2020-02-28T17:55:12Z</dcterms:created>
  <dcterms:modified xsi:type="dcterms:W3CDTF">2023-08-22T13:38:04Z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0x01010046BFB59621223041ACA26C1625C88120</vt:lpwstr>
  </property>
</Properties>
</file>