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PROJE\Gaziantep Su Güvenligi\1SONDUZLUK\REHBER DOKÜMAN\Rehber Doküman ve Ekleri - REV\Rehber Doküman - Ekler\Ek 5 - Ekonomik Analiz\"/>
    </mc:Choice>
  </mc:AlternateContent>
  <xr:revisionPtr revIDLastSave="0" documentId="13_ncr:1_{604DEA5E-9DE5-4DAD-AA0C-A6796415813B}" xr6:coauthVersionLast="47" xr6:coauthVersionMax="47" xr10:uidLastSave="{00000000-0000-0000-0000-000000000000}"/>
  <bookViews>
    <workbookView xWindow="28680" yWindow="-120" windowWidth="29040" windowHeight="15720" tabRatio="884" xr2:uid="{00000000-000D-0000-FFFF-FFFF00000000}"/>
  </bookViews>
  <sheets>
    <sheet name="TARİFE HESAP DİYGRAMI-KURALLARI" sheetId="1" r:id="rId1"/>
    <sheet name=" Veri Girişi ve Sonuç Tablosu" sheetId="14" r:id="rId2"/>
    <sheet name="Genel Maliyetler" sheetId="19" r:id="rId3"/>
    <sheet name="Su-Atıksu Amortisman " sheetId="5" r:id="rId4"/>
    <sheet name="Su Temini hizmetleri" sheetId="3" r:id="rId5"/>
    <sheet name="Atıksu Hizmetleri" sheetId="4" r:id="rId6"/>
    <sheet name="Sabit ve Değiş. Fins. Maliyet." sheetId="16" r:id="rId7"/>
    <sheet name="Kaynak Maliyeti" sheetId="6" r:id="rId8"/>
    <sheet name="Çevresel Maliyet" sheetId="7" r:id="rId9"/>
    <sheet name="Tam Maliyet" sheetId="8" r:id="rId10"/>
    <sheet name="Sayfa2" sheetId="12" state="hidden" r:id="rId11"/>
  </sheets>
  <definedNames>
    <definedName name="_Ref20068166" localSheetId="9">#NAME?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5" i="19" l="1"/>
  <c r="A124" i="14" l="1"/>
  <c r="A88" i="14" l="1"/>
  <c r="A79" i="14" l="1"/>
  <c r="A87" i="14"/>
  <c r="B34" i="14"/>
  <c r="I73" i="5"/>
  <c r="H73" i="5"/>
  <c r="F9" i="5"/>
  <c r="A105" i="14"/>
  <c r="B27" i="14"/>
  <c r="A4" i="14"/>
  <c r="D30" i="5"/>
  <c r="G30" i="5" s="1"/>
  <c r="D41" i="5"/>
  <c r="G41" i="5" s="1"/>
  <c r="D43" i="5"/>
  <c r="G43" i="5" s="1"/>
  <c r="D42" i="5"/>
  <c r="G42" i="5" s="1"/>
  <c r="A5" i="14"/>
  <c r="B61" i="14"/>
  <c r="A61" i="14"/>
  <c r="B52" i="14"/>
  <c r="B67" i="14" s="1"/>
  <c r="A52" i="14"/>
  <c r="A53" i="14"/>
  <c r="B38" i="14"/>
  <c r="A4" i="4"/>
  <c r="B4" i="14"/>
  <c r="G73" i="5" l="1"/>
  <c r="C31" i="14" s="1"/>
  <c r="H30" i="5"/>
  <c r="I30" i="5" s="1"/>
  <c r="D74" i="5"/>
  <c r="B5" i="14"/>
  <c r="C102" i="14"/>
  <c r="C97" i="14"/>
  <c r="B19" i="14"/>
  <c r="C6" i="6"/>
  <c r="C4" i="6"/>
  <c r="C3" i="6"/>
  <c r="A51" i="14"/>
  <c r="B51" i="14"/>
  <c r="B53" i="14"/>
  <c r="A47" i="14"/>
  <c r="B47" i="14"/>
  <c r="A48" i="14"/>
  <c r="B48" i="14"/>
  <c r="A49" i="14"/>
  <c r="B49" i="14"/>
  <c r="A39" i="14"/>
  <c r="A62" i="14"/>
  <c r="B62" i="14"/>
  <c r="C5" i="7"/>
  <c r="C4" i="7"/>
  <c r="B60" i="14"/>
  <c r="B59" i="14"/>
  <c r="B58" i="14"/>
  <c r="A60" i="14"/>
  <c r="A59" i="14"/>
  <c r="A58" i="14"/>
  <c r="B14" i="14"/>
  <c r="C7" i="7"/>
  <c r="C61" i="14" s="1"/>
  <c r="N34" i="12"/>
  <c r="L34" i="12"/>
  <c r="A83" i="14"/>
  <c r="B78" i="14"/>
  <c r="A114" i="14"/>
  <c r="A104" i="14"/>
  <c r="C4" i="3"/>
  <c r="C3" i="3"/>
  <c r="C3" i="4" s="1"/>
  <c r="A2" i="14"/>
  <c r="A106" i="14"/>
  <c r="A107" i="14"/>
  <c r="A86" i="14"/>
  <c r="A89" i="14"/>
  <c r="A84" i="14"/>
  <c r="A76" i="14"/>
  <c r="B76" i="14"/>
  <c r="A77" i="14"/>
  <c r="B77" i="14"/>
  <c r="A78" i="14"/>
  <c r="B79" i="14"/>
  <c r="B68" i="14"/>
  <c r="A38" i="14"/>
  <c r="B39" i="14"/>
  <c r="A34" i="14"/>
  <c r="A35" i="14"/>
  <c r="B35" i="14"/>
  <c r="A3" i="14"/>
  <c r="B3" i="14"/>
  <c r="Q82" i="12"/>
  <c r="O82" i="12"/>
  <c r="M82" i="12"/>
  <c r="Q81" i="12"/>
  <c r="O81" i="12"/>
  <c r="M81" i="12"/>
  <c r="Q80" i="12"/>
  <c r="O80" i="12"/>
  <c r="M80" i="12"/>
  <c r="A94" i="8"/>
  <c r="C8" i="6"/>
  <c r="F32" i="5"/>
  <c r="G32" i="5" s="1"/>
  <c r="F29" i="5"/>
  <c r="G29" i="5" s="1"/>
  <c r="D29" i="5"/>
  <c r="F28" i="5"/>
  <c r="D28" i="5"/>
  <c r="F27" i="5"/>
  <c r="D27" i="5"/>
  <c r="F26" i="5"/>
  <c r="D26" i="5"/>
  <c r="F25" i="5"/>
  <c r="D25" i="5"/>
  <c r="F24" i="5"/>
  <c r="D24" i="5"/>
  <c r="F23" i="5"/>
  <c r="D23" i="5"/>
  <c r="F22" i="5"/>
  <c r="D22" i="5"/>
  <c r="F21" i="5"/>
  <c r="D21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G13" i="5" s="1"/>
  <c r="F12" i="5"/>
  <c r="D12" i="5"/>
  <c r="F11" i="5"/>
  <c r="D11" i="5"/>
  <c r="F10" i="5"/>
  <c r="D10" i="5"/>
  <c r="D9" i="5"/>
  <c r="G9" i="5" s="1"/>
  <c r="F8" i="5"/>
  <c r="D8" i="5"/>
  <c r="F7" i="5"/>
  <c r="D7" i="5"/>
  <c r="F6" i="5"/>
  <c r="D6" i="5"/>
  <c r="F5" i="5"/>
  <c r="D5" i="5"/>
  <c r="F4" i="5"/>
  <c r="C23" i="4"/>
  <c r="C20" i="3"/>
  <c r="G15" i="5"/>
  <c r="H15" i="5" s="1"/>
  <c r="I15" i="5" s="1"/>
  <c r="M34" i="12" l="1"/>
  <c r="C36" i="4"/>
  <c r="A118" i="14"/>
  <c r="C4" i="4"/>
  <c r="C7" i="4" s="1"/>
  <c r="C9" i="4" s="1"/>
  <c r="C16" i="4" s="1"/>
  <c r="G17" i="5"/>
  <c r="H17" i="5" s="1"/>
  <c r="I17" i="5" s="1"/>
  <c r="G23" i="5"/>
  <c r="H23" i="5" s="1"/>
  <c r="D31" i="5"/>
  <c r="D35" i="5" s="1"/>
  <c r="G19" i="5"/>
  <c r="H19" i="5" s="1"/>
  <c r="G5" i="5"/>
  <c r="H5" i="5" s="1"/>
  <c r="I5" i="5" s="1"/>
  <c r="G7" i="5"/>
  <c r="H7" i="5" s="1"/>
  <c r="I7" i="5" s="1"/>
  <c r="G21" i="5"/>
  <c r="H21" i="5" s="1"/>
  <c r="H9" i="5"/>
  <c r="I9" i="5" s="1"/>
  <c r="B83" i="14"/>
  <c r="H13" i="5"/>
  <c r="I13" i="5" s="1"/>
  <c r="G25" i="5"/>
  <c r="G27" i="5"/>
  <c r="H27" i="5" s="1"/>
  <c r="I27" i="5" s="1"/>
  <c r="G10" i="5"/>
  <c r="H10" i="5" s="1"/>
  <c r="I10" i="5" s="1"/>
  <c r="G12" i="5"/>
  <c r="H12" i="5" s="1"/>
  <c r="I12" i="5" s="1"/>
  <c r="G14" i="5"/>
  <c r="G16" i="5"/>
  <c r="H16" i="5" s="1"/>
  <c r="G18" i="5"/>
  <c r="H18" i="5" s="1"/>
  <c r="I18" i="5" s="1"/>
  <c r="G26" i="5"/>
  <c r="H26" i="5" s="1"/>
  <c r="G4" i="5"/>
  <c r="H4" i="5" s="1"/>
  <c r="G6" i="5"/>
  <c r="H6" i="5" s="1"/>
  <c r="I6" i="5" s="1"/>
  <c r="G8" i="5"/>
  <c r="H8" i="5" s="1"/>
  <c r="I8" i="5" s="1"/>
  <c r="G20" i="5"/>
  <c r="H20" i="5" s="1"/>
  <c r="I20" i="5" s="1"/>
  <c r="G22" i="5"/>
  <c r="H22" i="5" s="1"/>
  <c r="I22" i="5" s="1"/>
  <c r="G24" i="5"/>
  <c r="H24" i="5" s="1"/>
  <c r="G11" i="5"/>
  <c r="I23" i="5"/>
  <c r="C24" i="3"/>
  <c r="C25" i="3"/>
  <c r="C28" i="3" s="1"/>
  <c r="C7" i="6"/>
  <c r="B20" i="14"/>
  <c r="B21" i="14" s="1"/>
  <c r="C3" i="19"/>
  <c r="B18" i="14"/>
  <c r="C5" i="6"/>
  <c r="C28" i="4"/>
  <c r="C27" i="4"/>
  <c r="H29" i="5"/>
  <c r="I29" i="5" s="1"/>
  <c r="H14" i="5"/>
  <c r="I14" i="5" s="1"/>
  <c r="G28" i="5"/>
  <c r="H32" i="5"/>
  <c r="I32" i="5" s="1"/>
  <c r="N35" i="12"/>
  <c r="I16" i="5"/>
  <c r="H25" i="5"/>
  <c r="I25" i="5" s="1"/>
  <c r="I21" i="5" l="1"/>
  <c r="C10" i="14"/>
  <c r="B10" i="14"/>
  <c r="A10" i="14"/>
  <c r="B12" i="14" s="1"/>
  <c r="B11" i="14"/>
  <c r="C51" i="14"/>
  <c r="C9" i="6" s="1"/>
  <c r="C10" i="6" s="1"/>
  <c r="M35" i="12" s="1"/>
  <c r="C15" i="4"/>
  <c r="C6" i="3"/>
  <c r="C11" i="3" s="1"/>
  <c r="C19" i="4"/>
  <c r="I19" i="5"/>
  <c r="G31" i="5"/>
  <c r="G34" i="5" s="1"/>
  <c r="C30" i="14" s="1"/>
  <c r="C5" i="4"/>
  <c r="C6" i="12"/>
  <c r="C31" i="3"/>
  <c r="B22" i="14"/>
  <c r="C8" i="7"/>
  <c r="C5" i="3"/>
  <c r="I26" i="5"/>
  <c r="I4" i="5"/>
  <c r="I24" i="5"/>
  <c r="H11" i="5"/>
  <c r="I11" i="5"/>
  <c r="C27" i="3"/>
  <c r="C30" i="3"/>
  <c r="C5" i="14"/>
  <c r="A126" i="14" s="1"/>
  <c r="C11" i="6"/>
  <c r="C38" i="19"/>
  <c r="C42" i="19"/>
  <c r="C39" i="19"/>
  <c r="C16" i="19"/>
  <c r="C32" i="19"/>
  <c r="C23" i="19"/>
  <c r="C13" i="19"/>
  <c r="C29" i="19"/>
  <c r="C19" i="19"/>
  <c r="C14" i="19"/>
  <c r="C30" i="19"/>
  <c r="C28" i="19"/>
  <c r="C9" i="19"/>
  <c r="C41" i="19"/>
  <c r="B11" i="16" s="1"/>
  <c r="C26" i="19"/>
  <c r="C7" i="19"/>
  <c r="C4" i="19"/>
  <c r="B9" i="16" s="1"/>
  <c r="C20" i="19"/>
  <c r="C36" i="19"/>
  <c r="C35" i="19"/>
  <c r="C17" i="19"/>
  <c r="C33" i="19"/>
  <c r="C31" i="19"/>
  <c r="C18" i="19"/>
  <c r="C34" i="19"/>
  <c r="C12" i="19"/>
  <c r="C15" i="19"/>
  <c r="C8" i="19"/>
  <c r="C24" i="19"/>
  <c r="C40" i="19"/>
  <c r="C5" i="19"/>
  <c r="C21" i="19"/>
  <c r="C37" i="19"/>
  <c r="C6" i="19"/>
  <c r="C22" i="19"/>
  <c r="C27" i="19"/>
  <c r="C11" i="19"/>
  <c r="C25" i="19"/>
  <c r="C10" i="19"/>
  <c r="D6" i="12"/>
  <c r="H28" i="5"/>
  <c r="I28" i="5" s="1"/>
  <c r="B84" i="14"/>
  <c r="C33" i="4"/>
  <c r="C30" i="4"/>
  <c r="C34" i="4"/>
  <c r="C31" i="4"/>
  <c r="C33" i="3" l="1"/>
  <c r="A117" i="14"/>
  <c r="C9" i="7"/>
  <c r="C10" i="7" s="1"/>
  <c r="C52" i="14"/>
  <c r="C12" i="3"/>
  <c r="B2" i="16" s="1"/>
  <c r="C16" i="3"/>
  <c r="B3" i="16" s="1"/>
  <c r="B13" i="14"/>
  <c r="C41" i="4"/>
  <c r="B51" i="19"/>
  <c r="B8" i="16"/>
  <c r="B10" i="16"/>
  <c r="B4" i="16"/>
  <c r="C45" i="19"/>
  <c r="C27" i="14" s="1"/>
  <c r="I31" i="5"/>
  <c r="H31" i="5"/>
  <c r="H34" i="5" s="1"/>
  <c r="C79" i="14"/>
  <c r="I34" i="5"/>
  <c r="B4" i="4"/>
  <c r="C12" i="6"/>
  <c r="C13" i="6" s="1"/>
  <c r="A125" i="14" s="1"/>
  <c r="D5" i="12"/>
  <c r="C62" i="14" l="1"/>
  <c r="C5" i="8"/>
  <c r="B48" i="3"/>
  <c r="B50" i="19"/>
  <c r="C38" i="3"/>
  <c r="B12" i="16"/>
  <c r="B42" i="14" s="1"/>
  <c r="B5" i="16"/>
  <c r="B41" i="14" s="1"/>
  <c r="C78" i="14"/>
  <c r="C53" i="14"/>
  <c r="C4" i="8"/>
  <c r="E6" i="12"/>
  <c r="C5" i="12" l="1"/>
  <c r="A115" i="14"/>
  <c r="C51" i="19" l="1"/>
  <c r="D51" i="19" s="1"/>
  <c r="C44" i="4" s="1"/>
  <c r="C45" i="4" s="1"/>
  <c r="C46" i="4" s="1"/>
  <c r="C50" i="19" l="1"/>
  <c r="D50" i="19" s="1"/>
  <c r="C41" i="3" s="1"/>
  <c r="C42" i="3" s="1"/>
  <c r="C43" i="3" s="1"/>
  <c r="B43" i="4"/>
  <c r="B40" i="3" l="1"/>
  <c r="C38" i="14"/>
  <c r="C47" i="4"/>
  <c r="P35" i="12" l="1"/>
  <c r="C39" i="14"/>
  <c r="C3" i="8"/>
  <c r="C34" i="14" l="1"/>
  <c r="B43" i="14" s="1"/>
  <c r="C44" i="3"/>
  <c r="C10" i="8"/>
  <c r="L35" i="12" l="1"/>
  <c r="A67" i="14"/>
  <c r="C8" i="8"/>
  <c r="C2" i="8"/>
  <c r="C35" i="14"/>
  <c r="O35" i="12" l="1"/>
  <c r="Q35" i="12" s="1"/>
  <c r="C6" i="8"/>
  <c r="D2" i="8" s="1"/>
  <c r="C9" i="8"/>
  <c r="C7" i="8" s="1"/>
  <c r="L5" i="12" s="1"/>
  <c r="D9" i="8" l="1"/>
  <c r="B4" i="12"/>
  <c r="A68" i="14"/>
  <c r="D10" i="8"/>
  <c r="D3" i="8"/>
  <c r="D4" i="8"/>
  <c r="D5" i="8"/>
  <c r="C76" i="14" l="1"/>
  <c r="C77" i="14" l="1"/>
  <c r="E5" i="12"/>
  <c r="A116" i="14"/>
  <c r="E7" i="12" l="1"/>
  <c r="O34" i="12" l="1"/>
  <c r="A119" i="14" l="1"/>
  <c r="P34" i="12"/>
  <c r="Q34" i="12" s="1"/>
  <c r="A123" i="14" l="1"/>
  <c r="O7" i="12" l="1"/>
  <c r="N8" i="12"/>
  <c r="M8" i="12"/>
  <c r="M9" i="12"/>
  <c r="O8" i="12"/>
  <c r="O9" i="12"/>
  <c r="M7" i="12"/>
  <c r="A120" i="14" l="1"/>
  <c r="N7" i="12"/>
  <c r="N9" i="12"/>
  <c r="C106" i="14"/>
  <c r="C105" i="14"/>
  <c r="F6" i="12"/>
  <c r="A121" i="14"/>
  <c r="M6" i="12"/>
  <c r="C107" i="14" l="1"/>
  <c r="F7" i="12"/>
  <c r="F5" i="12"/>
  <c r="A122" i="14"/>
</calcChain>
</file>

<file path=xl/sharedStrings.xml><?xml version="1.0" encoding="utf-8"?>
<sst xmlns="http://schemas.openxmlformats.org/spreadsheetml/2006/main" count="663" uniqueCount="360">
  <si>
    <t>Toplam</t>
  </si>
  <si>
    <t>Parametreler</t>
  </si>
  <si>
    <t>Personel giderleri</t>
  </si>
  <si>
    <t>Sosyal Güvenlik Primi</t>
  </si>
  <si>
    <t>Teknoloji ve donanım altyapı hizmetleri</t>
  </si>
  <si>
    <t>Medya, iletişim, tanıtım, temsil ve bilgilendirme giderleri</t>
  </si>
  <si>
    <t>Sosyal sorumluluk projeleri</t>
  </si>
  <si>
    <t>Kar Amacı Gütmeyen Kuruluşlara Yapılan Transferler</t>
  </si>
  <si>
    <t>Haberleşme Maliyetleri</t>
  </si>
  <si>
    <t>İş makinası, arazi ve binek araçların işletme bakım ve yönetim maliyetleri</t>
  </si>
  <si>
    <t>Danışmanlık- müşavirlik hizmetleri</t>
  </si>
  <si>
    <t>Görev yolluklar</t>
  </si>
  <si>
    <t>Personel servisi</t>
  </si>
  <si>
    <t>Lojman Bakım ve Onarım Giderleri</t>
  </si>
  <si>
    <t>Diğer Taşınmaz Yap. Bak. ve Onrm. Gid.</t>
  </si>
  <si>
    <t>Yemekhane ve kreş hizmetleri</t>
  </si>
  <si>
    <t>Yiyecek</t>
  </si>
  <si>
    <t>İçecek</t>
  </si>
  <si>
    <t>Ofis giderleri (temizlik, sarf malzemesi, kırtasiye)</t>
  </si>
  <si>
    <t>Temizlik</t>
  </si>
  <si>
    <t>Temizleme ekipmanları</t>
  </si>
  <si>
    <t>Sarf malzemesi</t>
  </si>
  <si>
    <t>Kırtasiye</t>
  </si>
  <si>
    <t>Tıbbi ve Laboratuar sarf malzemesi</t>
  </si>
  <si>
    <t>Yakıtlar, Yakıt Katkıları ve Katkı Yağları</t>
  </si>
  <si>
    <t>Euro</t>
  </si>
  <si>
    <t>%</t>
  </si>
  <si>
    <t>Parameter</t>
  </si>
  <si>
    <t>Eur/kWh</t>
  </si>
  <si>
    <t>kWh/m3</t>
  </si>
  <si>
    <t>m</t>
  </si>
  <si>
    <t>EUR/m3</t>
  </si>
  <si>
    <t>EUR</t>
  </si>
  <si>
    <t>% Wastewater Col.</t>
  </si>
  <si>
    <t>DEPRECIATION COST</t>
  </si>
  <si>
    <t>Nº Ud.</t>
  </si>
  <si>
    <t>EQUIPMENT / FACILITIES</t>
  </si>
  <si>
    <t>UNITARY COST</t>
  </si>
  <si>
    <t>TOTAL COST</t>
  </si>
  <si>
    <t>Yearly depreciation
(% / Value)</t>
  </si>
  <si>
    <t>TOTAL</t>
  </si>
  <si>
    <t>FIXED COST
(50%)</t>
  </si>
  <si>
    <t>VARIABLE COST
(50%)</t>
  </si>
  <si>
    <t>Pumping in closing filters</t>
  </si>
  <si>
    <t>Pumping in filter cleaning</t>
  </si>
  <si>
    <t>Service wter pumping units</t>
  </si>
  <si>
    <t>Pressure control tank</t>
  </si>
  <si>
    <t>Electromixers</t>
  </si>
  <si>
    <t>Automatic valves in decanters</t>
  </si>
  <si>
    <t>Sludge recirculation pumps</t>
  </si>
  <si>
    <t>Lamelar decantor blocks</t>
  </si>
  <si>
    <t>Intermediate pumping stations</t>
  </si>
  <si>
    <t>Recovery water shaker</t>
  </si>
  <si>
    <t>Filter control meter</t>
  </si>
  <si>
    <t>General instrumentatioin</t>
  </si>
  <si>
    <t>Chlorine dispenser</t>
  </si>
  <si>
    <t>Floculant dispenser</t>
  </si>
  <si>
    <t>Coagulant dispenser</t>
  </si>
  <si>
    <t>Sludge polyelectrolyte dispenser</t>
  </si>
  <si>
    <t>Lime dispenser</t>
  </si>
  <si>
    <t>CO2 dispenser</t>
  </si>
  <si>
    <t>Centrifuge sludge</t>
  </si>
  <si>
    <t>Service compressor</t>
  </si>
  <si>
    <t>Civil works</t>
  </si>
  <si>
    <t>Automation and control</t>
  </si>
  <si>
    <t>Electricity materials</t>
  </si>
  <si>
    <t>Valves and other ancillery</t>
  </si>
  <si>
    <t>2.- DEPRECIATION COST FOR PIPELINES</t>
  </si>
  <si>
    <t>Total Investment</t>
  </si>
  <si>
    <t>YEARLY DEPRECIATION COST</t>
  </si>
  <si>
    <t>RESOURCE COST</t>
  </si>
  <si>
    <t xml:space="preserve">  </t>
  </si>
  <si>
    <t>Miktar</t>
  </si>
  <si>
    <t>Kaynak Maliyeti</t>
  </si>
  <si>
    <t>Çevresel Maliyet</t>
  </si>
  <si>
    <t>Kademe Türü</t>
  </si>
  <si>
    <t>1. Kademe (10 m3 kullanım)</t>
  </si>
  <si>
    <t>2. Kademe  (&gt;10 m3 kullanım)</t>
  </si>
  <si>
    <t>3.Kademe (&gt;20 m3 kullanım)</t>
  </si>
  <si>
    <t>Diğer Aboneler</t>
  </si>
  <si>
    <t>Düşük Gelirli Haneler Nihai Tarife</t>
  </si>
  <si>
    <t>Ortalama Gelirli Haneler Nihai Tarife</t>
  </si>
  <si>
    <t>Diğer Aboneler Nihai Tarife</t>
  </si>
  <si>
    <t>Hizmet Türü</t>
  </si>
  <si>
    <t>Su Hizmetleri</t>
  </si>
  <si>
    <t>Atıksu Hizmetleri</t>
  </si>
  <si>
    <t>Atıksu Hizmetler</t>
  </si>
  <si>
    <t>Toplam Nihai Tarife(1.Kademe)</t>
  </si>
  <si>
    <t>NİHAİ  SU TARİFELERİ KADEMELERİ</t>
  </si>
  <si>
    <t>Avro</t>
  </si>
  <si>
    <t>USEFUL LIVE
(Years)</t>
  </si>
  <si>
    <t>Ductile Iron Pipe</t>
  </si>
  <si>
    <t>Asbestos Cement or PVC Pipe</t>
  </si>
  <si>
    <t>Concrete and RC concrete</t>
  </si>
  <si>
    <t>Tunnels and galleries</t>
  </si>
  <si>
    <t>Collection Tanks</t>
  </si>
  <si>
    <t>Wastewater pumping stations</t>
  </si>
  <si>
    <t>Inlet tanker reception</t>
  </si>
  <si>
    <t xml:space="preserve">Inlet screening </t>
  </si>
  <si>
    <t>Inlet electrical equipment</t>
  </si>
  <si>
    <t>Sedimentation tanks</t>
  </si>
  <si>
    <t>Aerated grit/grease, pumps and removal systems</t>
  </si>
  <si>
    <t>Primary settlement tanks</t>
  </si>
  <si>
    <t>Primary scrapers and sludge removal systems</t>
  </si>
  <si>
    <t>Secondary Aeration tanks</t>
  </si>
  <si>
    <t>Secondary floating aerators and mixers</t>
  </si>
  <si>
    <t>Secondary Settlement tanks</t>
  </si>
  <si>
    <t>Secondary scrapers and sludge removal systems</t>
  </si>
  <si>
    <t>Chlorination contact tank</t>
  </si>
  <si>
    <t>Slow and filters</t>
  </si>
  <si>
    <t>Rapid sand filters</t>
  </si>
  <si>
    <t>Pressurised filters</t>
  </si>
  <si>
    <t>Membrane filters</t>
  </si>
  <si>
    <t>Chemical treatment equipment</t>
  </si>
  <si>
    <t>Sludge return pumps</t>
  </si>
  <si>
    <t>Sludge digestion and sludge dewatering systems</t>
  </si>
  <si>
    <t>Disinfection treatment equipment: Chlorination</t>
  </si>
  <si>
    <t>Disinfection treatment equipment: Ozonisation</t>
  </si>
  <si>
    <t>Disinfection treatment equipment UV</t>
  </si>
  <si>
    <t>Other electro-mechanical equipment</t>
  </si>
  <si>
    <t>Valves and other ancillary</t>
  </si>
  <si>
    <t>Other civil works</t>
  </si>
  <si>
    <t>SCADA system</t>
  </si>
  <si>
    <t>VARIABLE COST
(50%)</t>
  </si>
  <si>
    <t>WASTE WATER TREATMENT SERVICES</t>
  </si>
  <si>
    <t>₺</t>
  </si>
  <si>
    <t>₺/m3</t>
  </si>
  <si>
    <t>₺/ m3</t>
  </si>
  <si>
    <t>₺ /m3</t>
  </si>
  <si>
    <t>Verileri Girmek İçin Tıklayınız</t>
  </si>
  <si>
    <t>GRAFİKLER</t>
  </si>
  <si>
    <t>Sonuçlara ait grafiksel gösterimler için tıklayınız.</t>
  </si>
  <si>
    <t>Kademeli Tarifeleri görmek için Tıklayınız</t>
  </si>
  <si>
    <t>Veri Girşi Yapınız</t>
  </si>
  <si>
    <t>Veri giriş sayfasına dönmek için tıklayınız.</t>
  </si>
  <si>
    <t xml:space="preserve">Evet </t>
  </si>
  <si>
    <t>Hayır</t>
  </si>
  <si>
    <t>Hesaplama Tablosunu Görmek İçin Tıklayınız</t>
  </si>
  <si>
    <t>Verileri Girmek için Tıklayınız</t>
  </si>
  <si>
    <t>VERİ GİRİŞİ YAPILDIYSA GERİ DÖNMEK İÇİN TIKLAYINIZ</t>
  </si>
  <si>
    <t>Hesaplama tablosunu görmek için tıklayınız</t>
  </si>
  <si>
    <t>işletme ve Bakım Maliyetleri</t>
  </si>
  <si>
    <t>Faiz Giderleri</t>
  </si>
  <si>
    <t>İşletme ve Bakım Maliyetleri</t>
  </si>
  <si>
    <t>Su ve atıksu laboratuvar masrafları</t>
  </si>
  <si>
    <t>Enerji Giderleri</t>
  </si>
  <si>
    <t>Menkul, garimenkul alımı, Kiralama ve Kamulaştırma</t>
  </si>
  <si>
    <t>Hizmet Binaları Bakım ve Onarım Giderleri</t>
  </si>
  <si>
    <t>Taşıt Giderleri</t>
  </si>
  <si>
    <t xml:space="preserve">Gayrı Menkul </t>
  </si>
  <si>
    <t>Sosyal tesis bakım ve Onarım giderleri</t>
  </si>
  <si>
    <t>Su Temin Malyeti</t>
  </si>
  <si>
    <t>Atıksu Hizmeti Maliyeti</t>
  </si>
  <si>
    <t>SU HİZMETLERİ</t>
  </si>
  <si>
    <t>Tüketilen Su(m3/gün)</t>
  </si>
  <si>
    <t>Hizmet Edilen Nüfus</t>
  </si>
  <si>
    <t>Kişi Başı Tüketilen Su</t>
  </si>
  <si>
    <t>TEMEL PARAMETRELER</t>
  </si>
  <si>
    <t>SU TEMİNİ</t>
  </si>
  <si>
    <t>Birim Enerji Maliyeti</t>
  </si>
  <si>
    <t>Birim Enerji Tüketimi - Su Arıtma</t>
  </si>
  <si>
    <t>(a) Enerji Maiyeti- Su Arıtma</t>
  </si>
  <si>
    <t>Ortalama Su İletim Yüksekliği</t>
  </si>
  <si>
    <t>m3/yıl</t>
  </si>
  <si>
    <t>l/gün.kişi</t>
  </si>
  <si>
    <t>Kişi</t>
  </si>
  <si>
    <t>EUR/yıl</t>
  </si>
  <si>
    <t>₺ /yıl</t>
  </si>
  <si>
    <t>Birim Kimyasal Maliyeti - Su Arıtma</t>
  </si>
  <si>
    <t>Birim Klorlama Maliyetleri</t>
  </si>
  <si>
    <t>(c) Kimyasal Maliyetleri</t>
  </si>
  <si>
    <t>Çalışan Sayısı- Su temini</t>
  </si>
  <si>
    <t>Ortalama Bürüt Maaş</t>
  </si>
  <si>
    <t>(d) Personel Maliyeti</t>
  </si>
  <si>
    <t>KİMYASAL MALİYETİ</t>
  </si>
  <si>
    <t>PERSONEL MALİYETİ</t>
  </si>
  <si>
    <t>VARLIK DEĞERLERİ</t>
  </si>
  <si>
    <t>BAKIM MALİYETLERİ</t>
  </si>
  <si>
    <t>AMORTİSMAN MALİYETLERİ</t>
  </si>
  <si>
    <t>ENERJİ MALİYETLERİ</t>
  </si>
  <si>
    <t>Birim</t>
  </si>
  <si>
    <t>Ortalama Gelire Sahip Hane Halkı</t>
  </si>
  <si>
    <t>Düşük Gelire Sahip Hane Halkı</t>
  </si>
  <si>
    <t>Ödeme İstekliliği</t>
  </si>
  <si>
    <t xml:space="preserve">Düşük Gelire Sahip Hane Halkı  Ödeyebilirlik </t>
  </si>
  <si>
    <t>İhtiyat Fonu*</t>
  </si>
  <si>
    <t>Seçilen Tarife</t>
  </si>
  <si>
    <t>BİLEŞENLER</t>
  </si>
  <si>
    <t>BİRİM</t>
  </si>
  <si>
    <t>MİKTAR</t>
  </si>
  <si>
    <t>TAM MALİYET (SU FİYATI)</t>
  </si>
  <si>
    <t>Vergi</t>
  </si>
  <si>
    <t>Su Temini Finansal Maliyetler</t>
  </si>
  <si>
    <t>Atıksu Hizmetleri Finansal Maliyetler</t>
  </si>
  <si>
    <t>Çevresel Maliyetler</t>
  </si>
  <si>
    <t>Su temini (Finansal+Kaynak Maliyeti)</t>
  </si>
  <si>
    <t>Atıksu Hizmetleri(Finansal+Çevresel Maliyetler)</t>
  </si>
  <si>
    <t>Vergi dahil</t>
  </si>
  <si>
    <t>GENEL MALİYETLER VE PAYLAŞIMI</t>
  </si>
  <si>
    <t>Genel Maliyetin Paylaşımı</t>
  </si>
  <si>
    <t>Faturalandırılmamış İzinli Tüketim</t>
  </si>
  <si>
    <t>SU KULLANIMLARI</t>
  </si>
  <si>
    <t>GENEL MALİYETLER</t>
  </si>
  <si>
    <t>ÖDEYEBİLİRLİK</t>
  </si>
  <si>
    <t>ÖDEME İSTEKLİLİĞİ</t>
  </si>
  <si>
    <t>Ortanca Eşdeğer Hane Halkı Harcanabilir Geliri</t>
  </si>
  <si>
    <t>₺/yıl.kişi</t>
  </si>
  <si>
    <t>₺/yıl.hane</t>
  </si>
  <si>
    <t>Kişi Başı Varlık Değeri - İnşaat İşleri</t>
  </si>
  <si>
    <t>Kişi Başı Varlık Değeri  -E&amp;Mekipman</t>
  </si>
  <si>
    <t>EUR/Kişi</t>
  </si>
  <si>
    <t>Toplam Varlık Değeri - İnşaat İşleri</t>
  </si>
  <si>
    <t>Toplam Varlık Değeri - E&amp;M Ekipman</t>
  </si>
  <si>
    <t>(e) Bakım Maliyetleri - İnşaat İşleri</t>
  </si>
  <si>
    <t>(f) Bakım Maliyetleri  -  E&amp;M Ekipman</t>
  </si>
  <si>
    <t>(J) Finansal Maliyet (Borç Faizi)</t>
  </si>
  <si>
    <t>Genel Maliyetler (Maliyetin % si)</t>
  </si>
  <si>
    <t>(K) Genel Maliyetler</t>
  </si>
  <si>
    <t>Eğer "Genel Maliyetler Sayfasında hesaplanmış ise bu değeri kullanın</t>
  </si>
  <si>
    <t>SU TEMİNİ FİNANSAL MALİYETLERİ</t>
  </si>
  <si>
    <t>ATIKSU HİZMETLERİ FİNANSAL MALİYETLERİ</t>
  </si>
  <si>
    <t xml:space="preserve">Genel maliyetlerin atık su hizmetleri maliyetine oranı </t>
  </si>
  <si>
    <t xml:space="preserve">(i) Toplam Maliyetler </t>
  </si>
  <si>
    <r>
      <t xml:space="preserve">(i) Toplam Maliyetler </t>
    </r>
    <r>
      <rPr>
        <b/>
        <sz val="14"/>
        <color rgb="FFFF0000"/>
        <rFont val="Century Gothic"/>
        <family val="2"/>
        <charset val="162"/>
      </rPr>
      <t>(a+b+c+d+e+f+g+h+i+j+k1veya k)</t>
    </r>
  </si>
  <si>
    <t xml:space="preserve"> Su Temini Finansal Tam Maliyeti</t>
  </si>
  <si>
    <t>Faturalandırılan Su Hacmi</t>
  </si>
  <si>
    <t>Atıksu oluşma oranı</t>
  </si>
  <si>
    <t>Toplanan Atıksu Hacmi</t>
  </si>
  <si>
    <t>Sızma Oranı</t>
  </si>
  <si>
    <t>Arıtılan yağmur suyu ve atıksu hacmi</t>
  </si>
  <si>
    <t>% Fatura</t>
  </si>
  <si>
    <t>Enerji Birim Fiyatı</t>
  </si>
  <si>
    <t>Birim Enerji Tüketimi - Atıksu Arıtma</t>
  </si>
  <si>
    <t>% Atıksu Pompaj</t>
  </si>
  <si>
    <t>Ortalam Pompaj Yüksekliği</t>
  </si>
  <si>
    <t>(a) Enerji Maliyeti - Atıksu Arıtma</t>
  </si>
  <si>
    <t>(b) Enerji Maliyeti - Pompaj</t>
  </si>
  <si>
    <t>Birim Kimyasal Maliyeti - Atıksu Arıtma</t>
  </si>
  <si>
    <t>(c) Kimyasal Maliyeti</t>
  </si>
  <si>
    <t>Personel Sayısı- Atıksu Hizmetleri</t>
  </si>
  <si>
    <t>(g) Amortisman Maliyeti - İnşaat İşleri</t>
  </si>
  <si>
    <t>(h) Amortisman Maliyeti  -  E&amp;M Ekipman</t>
  </si>
  <si>
    <t xml:space="preserve">(İ) Amortisman Maliyeti </t>
  </si>
  <si>
    <t>FİNANSAL MALİYET</t>
  </si>
  <si>
    <t>(K1) Genel Maliyetler</t>
  </si>
  <si>
    <t>Atıksu Finansal Tam Maliyeti</t>
  </si>
  <si>
    <t>GENEL MLİYETLER (Maliyetin % si)</t>
  </si>
  <si>
    <t>Finansal Maliyetler</t>
  </si>
  <si>
    <t>Tam Maliyet (Su Fiyatı)</t>
  </si>
  <si>
    <t>VERİ GİRİŞ TABLOSU VE SONUÇLAR</t>
  </si>
  <si>
    <t>Su Tarifesini Hesaplamak İçin Tıklayınız</t>
  </si>
  <si>
    <t>Toplam Yeraltısuyu Beslenmesi</t>
  </si>
  <si>
    <t>YAS kütlesinden çekilen aşırı miktardaki su</t>
  </si>
  <si>
    <t>YAS kütlesinden Belediyelerce çekilen su</t>
  </si>
  <si>
    <t>Belediye tarafından kullanılan suyun oranı</t>
  </si>
  <si>
    <t>YAS kütlesinden aşrı çekilen suyun ortalama Belediye su hizmetleri tarifesi</t>
  </si>
  <si>
    <t>Belediye tarafından çekilen su</t>
  </si>
  <si>
    <t>Toplam Kaynak Maliyeti</t>
  </si>
  <si>
    <t>Faturalandırılan Su</t>
  </si>
  <si>
    <t>Belediyede uygulanacak birim kaynak maliyeti</t>
  </si>
  <si>
    <t>Yeraltsu(YAS) Kütlesinden Çekilen Toplam Su</t>
  </si>
  <si>
    <t>Her bir tedbirin ekonomik ömrünün süresi</t>
  </si>
  <si>
    <t>İskonto oranı</t>
  </si>
  <si>
    <t>Tedbrilerin yıllık eşdeğer maliyeti (YEM)</t>
  </si>
  <si>
    <t xml:space="preserve">Toplam çevresel maliyet(110% / YEM) </t>
  </si>
  <si>
    <t>Toplam Faturalandırılan su</t>
  </si>
  <si>
    <t>Belediye için tarifede uygulanacak çevresel maliyet</t>
  </si>
  <si>
    <t>Yıl</t>
  </si>
  <si>
    <t>Değişken Maliyetler</t>
  </si>
  <si>
    <t>Sabit Maliyetler</t>
  </si>
  <si>
    <t>HANEHALKI KADEMELİ SU TARİFESİ</t>
  </si>
  <si>
    <t>Su Tarifesi Kademeleri</t>
  </si>
  <si>
    <t>2.Kademe Su Tarifesinden den Kaynaklı Kullanım(&gt;10 m3 kullanım)</t>
  </si>
  <si>
    <t>3.Kademe Su Tarifesinden den KaynaklıKullanm(&gt;20 m3 kullanım)</t>
  </si>
  <si>
    <t>2.Kademe Su Tarifesinden Kaynaklı Kullanım (&gt;10 m3 kullanım)</t>
  </si>
  <si>
    <t>3.Kademeden Su Tarifesinden Kaynaklı Kullanım (&gt;20 m3 kullanım)</t>
  </si>
  <si>
    <t>SU TARİFESİ HESAPLAMA</t>
  </si>
  <si>
    <t>En düşük %20 dilimdeki gelire sahip Ortanca Eşdeğer Hane Halkı Harcanabilir Geliri</t>
  </si>
  <si>
    <t>Hanehalkının toplam faturalandırılmış  su tüketimine  oranı</t>
  </si>
  <si>
    <t>Diğer abonlerin  toplam  faturalandırılmış su tüketimine oranı</t>
  </si>
  <si>
    <t>Amostisman Maliyetleri</t>
  </si>
  <si>
    <t>DİĞER SU ABONELERİ KADEMELİ SU TARİFESİ</t>
  </si>
  <si>
    <t>Hizmet Alımları</t>
  </si>
  <si>
    <t>ATIKSU HİZMETLERİ MALİYETLERİ</t>
  </si>
  <si>
    <t>Hane halkı Sayısı</t>
  </si>
  <si>
    <t>(g) Bakım Maliyeti - İnşaat İşleri</t>
  </si>
  <si>
    <t>(h) Bakım Maliyeti  -  E&amp;M Ekipman</t>
  </si>
  <si>
    <t>"Amostisman Maliyeti" sayfasında hesaplanmış ise bu değeri kullanılır</t>
  </si>
  <si>
    <t>TOPLAM FİNANSAL MALİYET</t>
  </si>
  <si>
    <t>KAYNAK MALİYETİ</t>
  </si>
  <si>
    <t>₺/yıl</t>
  </si>
  <si>
    <t>Belediye için NHYP'deki tedbriler programı toplam bütçesi</t>
  </si>
  <si>
    <t>AMORTİSMAN</t>
  </si>
  <si>
    <t>BİRİM MALİYET</t>
  </si>
  <si>
    <t>TOPLAM MALİYET</t>
  </si>
  <si>
    <t>KULLANIM ÖMRÜ
(YIL)</t>
  </si>
  <si>
    <t>Yıllık Amortisman
(% /Değer)</t>
  </si>
  <si>
    <t>Ekipman/ Tesisler</t>
  </si>
  <si>
    <t>Sayısı</t>
  </si>
  <si>
    <t>Ham su pompalama istasyonu 355KW</t>
  </si>
  <si>
    <t>İçme suyu pompalama istasyonu 132KW</t>
  </si>
  <si>
    <t>SCADA</t>
  </si>
  <si>
    <t>Enerji Maliyeti</t>
  </si>
  <si>
    <t>Kimyasal Maliyeti</t>
  </si>
  <si>
    <t>Personel Maliyeti</t>
  </si>
  <si>
    <t>Bakım Maliyeti</t>
  </si>
  <si>
    <t>Faiz Borçları</t>
  </si>
  <si>
    <t>Değişken Finansal Maliyetler</t>
  </si>
  <si>
    <t>Sabit Finansal Maliyetler</t>
  </si>
  <si>
    <t>Üretilen Toplam Su Hacmi</t>
  </si>
  <si>
    <t>Amortisman Giderleri*</t>
  </si>
  <si>
    <t>Amortisman Maliyetleri*</t>
  </si>
  <si>
    <t>Sabit Maliyet
(50%)</t>
  </si>
  <si>
    <t>Su temini Amortisman Maliyeti</t>
  </si>
  <si>
    <t>Atıku Hizmetleri Amortisman Maliyeti</t>
  </si>
  <si>
    <t>Tam Maliyet(Su fiyatı)</t>
  </si>
  <si>
    <t>Ödeyebilirlik (&lt;%3)</t>
  </si>
  <si>
    <t>Tam Maliyet(Su Fiyatı)</t>
  </si>
  <si>
    <t>Faturalandırılmış Su Kullanım Oranı</t>
  </si>
  <si>
    <r>
      <t xml:space="preserve">SU TEMİNİ VE ATIKSU HİZMETLERİ AMORTİSMAN HESABI
</t>
    </r>
    <r>
      <rPr>
        <b/>
        <sz val="10"/>
        <color rgb="FF000000"/>
        <rFont val="Century Gothic"/>
        <family val="2"/>
        <charset val="162"/>
      </rPr>
      <t xml:space="preserve"> (Varlık Envnateri Mevcut ise;değilse su temin ve atıksu maliyetlerindeki kabul edilen değerler alınacaktır ve buraya veri girilmeyecektir.)</t>
    </r>
  </si>
  <si>
    <t>ÇEVRESEL MALİYET</t>
  </si>
  <si>
    <t>Amortisman *</t>
  </si>
  <si>
    <t>Tarife hesabı yapılacak İlçenin genel maliyet paylaşımı(TL/YIL)</t>
  </si>
  <si>
    <t>Nihai Su Tarifesi (Sübvanse Edilmiş)</t>
  </si>
  <si>
    <t xml:space="preserve">(g) Amortisman Maliyeti   - İnşaat İşleri </t>
  </si>
  <si>
    <t>(h) Amortisman Maliyeti   -  E&amp;M Ekipman</t>
  </si>
  <si>
    <t>(k) Genel Maliyetler (Maliyetlerin % si)</t>
  </si>
  <si>
    <t>……(Başka Gider kalemi ekleyebilirsiniz)</t>
  </si>
  <si>
    <t>…….(Başka Gider kalemi ekleyebilirsiniz)</t>
  </si>
  <si>
    <t>(b) Enerji Maliyeti- Su İletim</t>
  </si>
  <si>
    <t>% Atıksu ve Yağmur Suyu Hacmi</t>
  </si>
  <si>
    <t>Faturalandırılmış Su Hacmi</t>
  </si>
  <si>
    <t>*Amostisman maliyetleri net bugünkü değer üzerinden yıllık olarak hesaplanmalıdır.</t>
  </si>
  <si>
    <t xml:space="preserve">Su İdaresinin İlgeneli için Genel maliyeti </t>
  </si>
  <si>
    <t>Vergi (Finansal Maliyetler için %8)</t>
  </si>
  <si>
    <t>Sisteme Giren Su(m3/yıl)</t>
  </si>
  <si>
    <t>Hanehalkı (m3/yıl)</t>
  </si>
  <si>
    <t>Diğer Aboneler (m3/yıl)</t>
  </si>
  <si>
    <t>Tüketilen (Su m3/yıl)</t>
  </si>
  <si>
    <t>Üretilen Su Hacmi (m3/yıl)</t>
  </si>
  <si>
    <t>Belediyece YAS tan çekilen suyun Belediyenin ürettiği suya oranı</t>
  </si>
  <si>
    <t>Genel bütçeden pay ve teşvikler ₺</t>
  </si>
  <si>
    <t>Diğer gelirler  (vergi hariç)  ₺</t>
  </si>
  <si>
    <t>Bir önceki yıl alacaklarından tahsil edilen gelir (vergi hariç) ₺</t>
  </si>
  <si>
    <t>Fiziki Kayıplar</t>
  </si>
  <si>
    <t>Faturalandırılan(Gelir Getiren )Su Hacmi (m3/yıl)</t>
  </si>
  <si>
    <t>SU TEMİNİ HİZMETLERİ MALİYETLERİ</t>
  </si>
  <si>
    <t>Hanehalkı Abonesi Su Faturası Tahakkuk Geliri</t>
  </si>
  <si>
    <t>Diğer Aboneler Su Tarifesi Tahakkuk Geliri</t>
  </si>
  <si>
    <t>Gelir Getirmeyen Su (m3/yıl)</t>
  </si>
  <si>
    <t>Toplam Su Kayıpları (m3/yıl)</t>
  </si>
  <si>
    <t>SU KAYIPLARI</t>
  </si>
  <si>
    <t xml:space="preserve">GELİR GETİRMEYEN SU </t>
  </si>
  <si>
    <t>Gelir Getrmeyen Su (%)</t>
  </si>
  <si>
    <t>İdari Kayıplar</t>
  </si>
  <si>
    <t>Gelir</t>
  </si>
  <si>
    <t>Gider</t>
  </si>
  <si>
    <t>Diğer Giderler (Sayaç bakım, okuma, değiştirme vd.)</t>
  </si>
  <si>
    <t>"Amostisman Maliyeti" sayfasında hesaplanmış ise aşağıdaki değer kullanılır</t>
  </si>
  <si>
    <t>Eğer "Genel Maliyetler" Sayfasında hesaplanmış ise aşağıdaki değer kullanılır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</si>
</sst>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"/>
    <numFmt numFmtId="165" formatCode="_-* #,##0.00\ &quot;€&quot;_-;\-* #,##0.00\ &quot;€&quot;_-;_-* &quot;-&quot;??\ &quot;€&quot;_-;_-@_-"/>
    <numFmt numFmtId="166" formatCode="_-* #,##0.00\ [$€-1]_-;\-* #,##0.00\ [$€-1]_-;_-* &quot;-&quot;??\ [$€-1]_-;_-@_-"/>
    <numFmt numFmtId="167" formatCode="0.0%"/>
    <numFmt numFmtId="168" formatCode="&quot;₺&quot;#,##0.00"/>
    <numFmt numFmtId="169" formatCode="#,##0.00_ ;\-#,##0.00\ "/>
    <numFmt numFmtId="170" formatCode="_-[$₺-41F]* #,##0.00_-;\-[$₺-41F]* #,##0.00_-;_-[$₺-41F]* &quot;-&quot;??_-;_-@_-"/>
    <numFmt numFmtId="171" formatCode="_-[$€-C07]\ * #,##0_-;\-[$€-C07]\ * #,##0_-;_-[$€-C07]\ * &quot;-&quot;_-;_-@_-"/>
    <numFmt numFmtId="172" formatCode="_-* #,##0.00\ [$€-407]_-;\-* #,##0.00\ [$€-407]_-;_-* &quot;-&quot;??\ [$€-407]_-;_-@_-"/>
    <numFmt numFmtId="173" formatCode="_-* #,##0\ [$€-407]_-;\-* #,##0\ [$€-407]_-;_-* &quot;-&quot;\ [$€-407]_-;_-@_-"/>
    <numFmt numFmtId="174" formatCode="_-* #,##0\ [$€-1]_-;\-* #,##0\ [$€-1]_-;_-* &quot;-&quot;\ [$€-1]_-;_-@_-"/>
    <numFmt numFmtId="175" formatCode="#,##0_ ;\-#,##0\ "/>
    <numFmt numFmtId="176" formatCode="_-[$₺-41F]* #,##0_-;\-[$₺-41F]* #,##0_-;_-[$₺-41F]* &quot;-&quot;_-;_-@_-"/>
  </numFmts>
  <fonts count="56" x14ac:knownFonts="1">
    <font>
      <sz val="10"/>
      <color rgb="FF000000"/>
      <name val="Century Gothic"/>
      <charset val="1"/>
    </font>
    <font>
      <sz val="10"/>
      <color rgb="FF000000"/>
      <name val="Arial Narrow"/>
      <family val="2"/>
      <charset val="162"/>
    </font>
    <font>
      <b/>
      <sz val="10"/>
      <color rgb="FF000000"/>
      <name val="Arial Narrow"/>
      <family val="2"/>
      <charset val="162"/>
    </font>
    <font>
      <b/>
      <u/>
      <sz val="10"/>
      <color rgb="FF000000"/>
      <name val="Arial Narrow"/>
      <family val="2"/>
      <charset val="162"/>
    </font>
    <font>
      <b/>
      <sz val="12"/>
      <color rgb="FF000000"/>
      <name val="Arial Narrow"/>
      <family val="2"/>
      <charset val="162"/>
    </font>
    <font>
      <b/>
      <sz val="10"/>
      <color rgb="FF000000"/>
      <name val="Century Gothic"/>
      <family val="2"/>
      <charset val="162"/>
    </font>
    <font>
      <b/>
      <sz val="20"/>
      <color rgb="FF000000"/>
      <name val="Century Gothic"/>
      <family val="2"/>
      <charset val="162"/>
    </font>
    <font>
      <i/>
      <sz val="10"/>
      <color rgb="FF000000"/>
      <name val="Century Gothic"/>
      <family val="2"/>
      <charset val="162"/>
    </font>
    <font>
      <b/>
      <sz val="14"/>
      <color rgb="FF000000"/>
      <name val="Century Gothic"/>
      <family val="2"/>
      <charset val="162"/>
    </font>
    <font>
      <b/>
      <sz val="16"/>
      <color rgb="FF000000"/>
      <name val="Century Gothic"/>
      <family val="2"/>
      <charset val="162"/>
    </font>
    <font>
      <b/>
      <sz val="22"/>
      <color rgb="FF000000"/>
      <name val="Century Gothic"/>
      <family val="2"/>
      <charset val="162"/>
    </font>
    <font>
      <b/>
      <sz val="12"/>
      <color rgb="FFFF0000"/>
      <name val="Century Gothic"/>
      <family val="2"/>
      <charset val="162"/>
    </font>
    <font>
      <sz val="12"/>
      <color rgb="FF000000"/>
      <name val="Century Gothic"/>
      <family val="2"/>
      <charset val="162"/>
    </font>
    <font>
      <b/>
      <sz val="11"/>
      <color rgb="FF000000"/>
      <name val="Century Gothic"/>
      <family val="2"/>
      <charset val="162"/>
    </font>
    <font>
      <b/>
      <sz val="10"/>
      <color rgb="FFFF0000"/>
      <name val="Century Gothic"/>
      <family val="2"/>
      <charset val="162"/>
    </font>
    <font>
      <sz val="11"/>
      <color rgb="FF000000"/>
      <name val="Century Gothic"/>
      <family val="2"/>
      <charset val="162"/>
    </font>
    <font>
      <b/>
      <sz val="12"/>
      <color rgb="FF000000"/>
      <name val="Century Gothic"/>
      <family val="2"/>
      <charset val="162"/>
    </font>
    <font>
      <b/>
      <sz val="18"/>
      <color rgb="FFFF0000"/>
      <name val="Century Gothic"/>
      <family val="2"/>
      <charset val="162"/>
    </font>
    <font>
      <b/>
      <sz val="16"/>
      <color rgb="FFFF0000"/>
      <name val="Century Gothic"/>
      <family val="2"/>
      <charset val="162"/>
    </font>
    <font>
      <b/>
      <sz val="18"/>
      <color rgb="FF000000"/>
      <name val="Century Gothic"/>
      <family val="2"/>
      <charset val="162"/>
    </font>
    <font>
      <sz val="12"/>
      <color rgb="FF000000"/>
      <name val="Century Gothic"/>
      <family val="2"/>
      <charset val="162"/>
    </font>
    <font>
      <sz val="10"/>
      <color rgb="FF000000"/>
      <name val="Century Gothic"/>
      <family val="2"/>
      <charset val="162"/>
    </font>
    <font>
      <b/>
      <sz val="12"/>
      <color rgb="FF000000"/>
      <name val="Century Gothic"/>
      <family val="2"/>
      <charset val="162"/>
    </font>
    <font>
      <b/>
      <sz val="14"/>
      <color rgb="FF000000"/>
      <name val="Century Gothic"/>
      <family val="2"/>
      <charset val="162"/>
    </font>
    <font>
      <b/>
      <sz val="16"/>
      <color rgb="FF000000"/>
      <name val="Century Gothic"/>
      <family val="2"/>
      <charset val="162"/>
    </font>
    <font>
      <b/>
      <sz val="22"/>
      <color rgb="FF000000"/>
      <name val="Century Gothic"/>
      <family val="2"/>
      <charset val="162"/>
    </font>
    <font>
      <b/>
      <sz val="26"/>
      <color rgb="FF000000"/>
      <name val="Century Gothic"/>
      <family val="2"/>
      <charset val="162"/>
    </font>
    <font>
      <sz val="11"/>
      <color rgb="FF000000"/>
      <name val="Century Gothic"/>
      <family val="2"/>
      <charset val="162"/>
    </font>
    <font>
      <b/>
      <sz val="18"/>
      <color rgb="FFFF0000"/>
      <name val="Century Gothic"/>
      <family val="2"/>
      <charset val="162"/>
    </font>
    <font>
      <b/>
      <sz val="24"/>
      <color rgb="FFFF0000"/>
      <name val="Century Gothic"/>
      <family val="2"/>
      <charset val="162"/>
    </font>
    <font>
      <b/>
      <sz val="20"/>
      <color rgb="FFFF0000"/>
      <name val="Century Gothic"/>
      <family val="2"/>
      <charset val="162"/>
    </font>
    <font>
      <b/>
      <sz val="16.5"/>
      <color rgb="FFFF0000"/>
      <name val="Century Gothic"/>
      <family val="2"/>
      <charset val="162"/>
    </font>
    <font>
      <b/>
      <sz val="10"/>
      <color rgb="FFFF0000"/>
      <name val="Century Gothic"/>
      <family val="2"/>
      <charset val="162"/>
    </font>
    <font>
      <b/>
      <sz val="10"/>
      <color rgb="FF000000"/>
      <name val="Century Gothic"/>
      <family val="2"/>
      <charset val="162"/>
    </font>
    <font>
      <b/>
      <sz val="10"/>
      <name val="Century Gothic"/>
      <family val="2"/>
      <charset val="162"/>
    </font>
    <font>
      <b/>
      <sz val="14"/>
      <color rgb="FFFF0000"/>
      <name val="Century Gothic"/>
      <family val="2"/>
      <charset val="162"/>
    </font>
    <font>
      <i/>
      <u/>
      <sz val="12"/>
      <color rgb="FF000000"/>
      <name val="Century Gothic"/>
      <family val="2"/>
      <charset val="162"/>
    </font>
    <font>
      <b/>
      <sz val="12"/>
      <color rgb="FF000000"/>
      <name val="Arial Narrow"/>
      <family val="2"/>
      <charset val="16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Arial Narrow"/>
      <family val="2"/>
      <charset val="162"/>
    </font>
    <font>
      <u/>
      <sz val="10"/>
      <color theme="10"/>
      <name val="Century Gothic"/>
      <family val="2"/>
      <charset val="162"/>
    </font>
    <font>
      <b/>
      <u/>
      <sz val="18"/>
      <color theme="10"/>
      <name val="Century Gothic"/>
      <family val="2"/>
      <charset val="162"/>
    </font>
    <font>
      <sz val="10"/>
      <name val="Century Gothic"/>
      <family val="2"/>
      <charset val="162"/>
    </font>
    <font>
      <b/>
      <u/>
      <sz val="11"/>
      <color theme="10"/>
      <name val="Century Gothic"/>
      <family val="2"/>
      <charset val="162"/>
    </font>
    <font>
      <b/>
      <u/>
      <sz val="14"/>
      <color theme="10"/>
      <name val="Century Gothic"/>
      <family val="2"/>
      <charset val="162"/>
    </font>
    <font>
      <b/>
      <u/>
      <sz val="16"/>
      <color theme="10"/>
      <name val="Century Gothic"/>
      <family val="2"/>
      <charset val="162"/>
    </font>
    <font>
      <b/>
      <sz val="11"/>
      <color rgb="FF000000"/>
      <name val="Arial Narrow"/>
      <family val="2"/>
      <charset val="162"/>
    </font>
    <font>
      <b/>
      <sz val="18"/>
      <color rgb="FF000000"/>
      <name val="Arial Narrow"/>
      <family val="2"/>
      <charset val="162"/>
    </font>
    <font>
      <b/>
      <sz val="16"/>
      <name val="Century Gothic"/>
      <family val="2"/>
      <charset val="162"/>
    </font>
    <font>
      <b/>
      <u/>
      <sz val="16"/>
      <color theme="1"/>
      <name val="Century Gothic"/>
      <family val="2"/>
      <charset val="162"/>
    </font>
    <font>
      <b/>
      <sz val="8"/>
      <color rgb="FF000000"/>
      <name val="Century Gothic"/>
      <family val="2"/>
      <charset val="162"/>
    </font>
    <font>
      <b/>
      <sz val="8.5"/>
      <color rgb="FF000000"/>
      <name val="Century Gothic"/>
      <family val="2"/>
      <charset val="162"/>
    </font>
    <font>
      <b/>
      <u/>
      <sz val="28"/>
      <color rgb="FF000000"/>
      <name val="Century Gothic"/>
      <family val="2"/>
      <charset val="162"/>
    </font>
    <font>
      <b/>
      <i/>
      <sz val="8"/>
      <color rgb="FF000000"/>
      <name val="Century Gothic"/>
      <family val="2"/>
      <charset val="162"/>
    </font>
  </fonts>
  <fills count="30">
    <fill>
      <patternFill patternType="none"/>
    </fill>
    <fill>
      <patternFill patternType="gray125"/>
    </fill>
    <fill>
      <patternFill patternType="solid">
        <fgColor rgb="FFEE8AA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BEBEB"/>
        <bgColor rgb="FF000000"/>
      </patternFill>
    </fill>
    <fill>
      <patternFill patternType="solid">
        <fgColor rgb="FFF6D2AE"/>
        <bgColor rgb="FF000000"/>
      </patternFill>
    </fill>
    <fill>
      <patternFill patternType="solid">
        <fgColor rgb="FFF2BC86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8CC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38" fillId="0" borderId="0"/>
    <xf numFmtId="0" fontId="39" fillId="0" borderId="0"/>
    <xf numFmtId="0" fontId="40" fillId="0" borderId="0"/>
    <xf numFmtId="0" fontId="40" fillId="0" borderId="0"/>
    <xf numFmtId="0" fontId="42" fillId="0" borderId="0" applyNumberFormat="0" applyFill="0" applyBorder="0" applyAlignment="0" applyProtection="0"/>
  </cellStyleXfs>
  <cellXfs count="697">
    <xf numFmtId="0" fontId="0" fillId="0" borderId="0" xfId="0"/>
    <xf numFmtId="0" fontId="0" fillId="6" borderId="0" xfId="0" applyFill="1"/>
    <xf numFmtId="166" fontId="0" fillId="7" borderId="1" xfId="0" applyNumberFormat="1" applyFill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9" fontId="0" fillId="4" borderId="0" xfId="0" applyNumberFormat="1" applyFill="1"/>
    <xf numFmtId="0" fontId="13" fillId="7" borderId="7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left"/>
    </xf>
    <xf numFmtId="0" fontId="0" fillId="11" borderId="1" xfId="0" applyFill="1" applyBorder="1"/>
    <xf numFmtId="0" fontId="5" fillId="11" borderId="7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0" fillId="11" borderId="1" xfId="0" applyFill="1" applyBorder="1" applyAlignment="1">
      <alignment horizontal="center" wrapText="1"/>
    </xf>
    <xf numFmtId="0" fontId="0" fillId="11" borderId="10" xfId="0" applyFill="1" applyBorder="1" applyAlignment="1">
      <alignment horizontal="center" wrapText="1"/>
    </xf>
    <xf numFmtId="0" fontId="17" fillId="11" borderId="13" xfId="0" applyFont="1" applyFill="1" applyBorder="1" applyAlignment="1">
      <alignment horizontal="center"/>
    </xf>
    <xf numFmtId="0" fontId="17" fillId="11" borderId="25" xfId="0" applyFont="1" applyFill="1" applyBorder="1" applyAlignment="1">
      <alignment horizontal="center"/>
    </xf>
    <xf numFmtId="2" fontId="17" fillId="11" borderId="21" xfId="0" applyNumberFormat="1" applyFont="1" applyFill="1" applyBorder="1" applyAlignment="1">
      <alignment horizontal="center"/>
    </xf>
    <xf numFmtId="3" fontId="0" fillId="11" borderId="5" xfId="0" applyNumberFormat="1" applyFill="1" applyBorder="1"/>
    <xf numFmtId="3" fontId="0" fillId="11" borderId="5" xfId="0" applyNumberFormat="1" applyFill="1" applyBorder="1" applyAlignment="1">
      <alignment horizontal="right" vertical="center"/>
    </xf>
    <xf numFmtId="10" fontId="0" fillId="11" borderId="5" xfId="0" applyNumberFormat="1" applyFill="1" applyBorder="1"/>
    <xf numFmtId="2" fontId="0" fillId="0" borderId="0" xfId="0" applyNumberFormat="1"/>
    <xf numFmtId="0" fontId="14" fillId="6" borderId="0" xfId="0" applyFont="1" applyFill="1"/>
    <xf numFmtId="0" fontId="5" fillId="8" borderId="6" xfId="0" applyFont="1" applyFill="1" applyBorder="1" applyAlignment="1">
      <alignment horizontal="left"/>
    </xf>
    <xf numFmtId="0" fontId="12" fillId="9" borderId="1" xfId="0" applyFont="1" applyFill="1" applyBorder="1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10" borderId="1" xfId="0" applyFill="1" applyBorder="1"/>
    <xf numFmtId="44" fontId="0" fillId="11" borderId="1" xfId="0" applyNumberFormat="1" applyFill="1" applyBorder="1"/>
    <xf numFmtId="44" fontId="0" fillId="7" borderId="1" xfId="0" applyNumberFormat="1" applyFill="1" applyBorder="1" applyAlignment="1">
      <alignment horizontal="center"/>
    </xf>
    <xf numFmtId="0" fontId="12" fillId="9" borderId="30" xfId="0" applyFont="1" applyFill="1" applyBorder="1" applyAlignment="1">
      <alignment horizontal="center" wrapText="1"/>
    </xf>
    <xf numFmtId="0" fontId="12" fillId="9" borderId="40" xfId="0" applyFont="1" applyFill="1" applyBorder="1"/>
    <xf numFmtId="0" fontId="12" fillId="9" borderId="46" xfId="0" applyFont="1" applyFill="1" applyBorder="1" applyAlignment="1">
      <alignment horizontal="center" wrapText="1"/>
    </xf>
    <xf numFmtId="164" fontId="12" fillId="9" borderId="42" xfId="0" applyNumberFormat="1" applyFont="1" applyFill="1" applyBorder="1"/>
    <xf numFmtId="0" fontId="12" fillId="9" borderId="43" xfId="0" applyFont="1" applyFill="1" applyBorder="1"/>
    <xf numFmtId="164" fontId="12" fillId="9" borderId="44" xfId="0" applyNumberFormat="1" applyFont="1" applyFill="1" applyBorder="1"/>
    <xf numFmtId="0" fontId="12" fillId="9" borderId="44" xfId="0" applyFont="1" applyFill="1" applyBorder="1"/>
    <xf numFmtId="0" fontId="12" fillId="9" borderId="47" xfId="0" applyFont="1" applyFill="1" applyBorder="1"/>
    <xf numFmtId="0" fontId="12" fillId="9" borderId="53" xfId="0" applyFont="1" applyFill="1" applyBorder="1" applyAlignment="1">
      <alignment horizontal="center" wrapText="1"/>
    </xf>
    <xf numFmtId="0" fontId="22" fillId="9" borderId="47" xfId="0" applyFont="1" applyFill="1" applyBorder="1"/>
    <xf numFmtId="0" fontId="22" fillId="9" borderId="30" xfId="0" applyFont="1" applyFill="1" applyBorder="1" applyAlignment="1">
      <alignment horizontal="center"/>
    </xf>
    <xf numFmtId="0" fontId="22" fillId="9" borderId="48" xfId="0" applyFont="1" applyFill="1" applyBorder="1"/>
    <xf numFmtId="0" fontId="22" fillId="9" borderId="49" xfId="0" applyFont="1" applyFill="1" applyBorder="1"/>
    <xf numFmtId="0" fontId="22" fillId="9" borderId="50" xfId="0" applyFont="1" applyFill="1" applyBorder="1" applyAlignment="1">
      <alignment horizontal="center"/>
    </xf>
    <xf numFmtId="3" fontId="12" fillId="9" borderId="48" xfId="0" applyNumberFormat="1" applyFont="1" applyFill="1" applyBorder="1"/>
    <xf numFmtId="3" fontId="12" fillId="9" borderId="42" xfId="0" applyNumberFormat="1" applyFont="1" applyFill="1" applyBorder="1"/>
    <xf numFmtId="0" fontId="12" fillId="3" borderId="52" xfId="0" applyFont="1" applyFill="1" applyBorder="1"/>
    <xf numFmtId="0" fontId="12" fillId="3" borderId="53" xfId="0" applyFont="1" applyFill="1" applyBorder="1" applyAlignment="1">
      <alignment horizontal="center" wrapText="1"/>
    </xf>
    <xf numFmtId="164" fontId="12" fillId="3" borderId="54" xfId="0" applyNumberFormat="1" applyFont="1" applyFill="1" applyBorder="1"/>
    <xf numFmtId="0" fontId="12" fillId="3" borderId="47" xfId="0" applyFont="1" applyFill="1" applyBorder="1"/>
    <xf numFmtId="0" fontId="12" fillId="3" borderId="30" xfId="0" applyFont="1" applyFill="1" applyBorder="1" applyAlignment="1">
      <alignment horizontal="center" wrapText="1"/>
    </xf>
    <xf numFmtId="164" fontId="12" fillId="3" borderId="48" xfId="0" applyNumberFormat="1" applyFont="1" applyFill="1" applyBorder="1"/>
    <xf numFmtId="0" fontId="12" fillId="3" borderId="19" xfId="0" applyFont="1" applyFill="1" applyBorder="1"/>
    <xf numFmtId="0" fontId="12" fillId="3" borderId="26" xfId="0" applyFont="1" applyFill="1" applyBorder="1" applyAlignment="1">
      <alignment horizontal="center" wrapText="1"/>
    </xf>
    <xf numFmtId="0" fontId="12" fillId="3" borderId="20" xfId="0" applyFont="1" applyFill="1" applyBorder="1"/>
    <xf numFmtId="0" fontId="12" fillId="3" borderId="4" xfId="0" applyFont="1" applyFill="1" applyBorder="1"/>
    <xf numFmtId="0" fontId="12" fillId="3" borderId="1" xfId="0" applyFont="1" applyFill="1" applyBorder="1" applyAlignment="1">
      <alignment horizontal="center" wrapText="1"/>
    </xf>
    <xf numFmtId="0" fontId="12" fillId="3" borderId="5" xfId="0" applyFont="1" applyFill="1" applyBorder="1"/>
    <xf numFmtId="0" fontId="5" fillId="11" borderId="22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 wrapText="1"/>
    </xf>
    <xf numFmtId="0" fontId="5" fillId="11" borderId="23" xfId="0" applyFont="1" applyFill="1" applyBorder="1" applyAlignment="1">
      <alignment horizontal="center"/>
    </xf>
    <xf numFmtId="3" fontId="0" fillId="11" borderId="42" xfId="0" applyNumberFormat="1" applyFill="1" applyBorder="1"/>
    <xf numFmtId="3" fontId="0" fillId="11" borderId="44" xfId="0" applyNumberFormat="1" applyFill="1" applyBorder="1"/>
    <xf numFmtId="10" fontId="0" fillId="11" borderId="44" xfId="0" applyNumberFormat="1" applyFill="1" applyBorder="1"/>
    <xf numFmtId="4" fontId="0" fillId="11" borderId="44" xfId="0" applyNumberFormat="1" applyFill="1" applyBorder="1"/>
    <xf numFmtId="4" fontId="0" fillId="11" borderId="65" xfId="0" applyNumberFormat="1" applyFill="1" applyBorder="1"/>
    <xf numFmtId="0" fontId="18" fillId="11" borderId="66" xfId="0" applyFont="1" applyFill="1" applyBorder="1" applyAlignment="1">
      <alignment horizontal="center"/>
    </xf>
    <xf numFmtId="0" fontId="18" fillId="11" borderId="67" xfId="0" applyFont="1" applyFill="1" applyBorder="1" applyAlignment="1">
      <alignment horizontal="center"/>
    </xf>
    <xf numFmtId="2" fontId="18" fillId="11" borderId="68" xfId="0" applyNumberFormat="1" applyFont="1" applyFill="1" applyBorder="1" applyAlignment="1">
      <alignment horizontal="center"/>
    </xf>
    <xf numFmtId="0" fontId="0" fillId="16" borderId="0" xfId="0" applyFill="1"/>
    <xf numFmtId="0" fontId="20" fillId="11" borderId="1" xfId="0" applyFont="1" applyFill="1" applyBorder="1" applyAlignment="1">
      <alignment horizontal="center" wrapText="1"/>
    </xf>
    <xf numFmtId="4" fontId="20" fillId="11" borderId="5" xfId="0" applyNumberFormat="1" applyFont="1" applyFill="1" applyBorder="1"/>
    <xf numFmtId="4" fontId="20" fillId="11" borderId="5" xfId="0" applyNumberFormat="1" applyFont="1" applyFill="1" applyBorder="1" applyAlignment="1">
      <alignment horizontal="right" vertical="center"/>
    </xf>
    <xf numFmtId="0" fontId="22" fillId="11" borderId="10" xfId="0" applyFont="1" applyFill="1" applyBorder="1" applyAlignment="1">
      <alignment horizontal="center" wrapText="1"/>
    </xf>
    <xf numFmtId="4" fontId="22" fillId="11" borderId="11" xfId="0" applyNumberFormat="1" applyFont="1" applyFill="1" applyBorder="1"/>
    <xf numFmtId="0" fontId="36" fillId="11" borderId="7" xfId="0" applyFont="1" applyFill="1" applyBorder="1" applyAlignment="1">
      <alignment horizontal="right"/>
    </xf>
    <xf numFmtId="0" fontId="20" fillId="11" borderId="7" xfId="0" applyFont="1" applyFill="1" applyBorder="1" applyAlignment="1">
      <alignment horizontal="center"/>
    </xf>
    <xf numFmtId="2" fontId="20" fillId="11" borderId="7" xfId="0" applyNumberFormat="1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 wrapText="1"/>
    </xf>
    <xf numFmtId="4" fontId="20" fillId="11" borderId="3" xfId="0" applyNumberFormat="1" applyFont="1" applyFill="1" applyBorder="1" applyAlignment="1">
      <alignment horizontal="center"/>
    </xf>
    <xf numFmtId="0" fontId="36" fillId="11" borderId="6" xfId="0" applyFont="1" applyFill="1" applyBorder="1" applyAlignment="1">
      <alignment horizontal="right"/>
    </xf>
    <xf numFmtId="0" fontId="20" fillId="11" borderId="8" xfId="0" applyFont="1" applyFill="1" applyBorder="1" applyAlignment="1">
      <alignment horizontal="center" wrapText="1"/>
    </xf>
    <xf numFmtId="4" fontId="20" fillId="11" borderId="9" xfId="0" applyNumberFormat="1" applyFont="1" applyFill="1" applyBorder="1" applyAlignment="1">
      <alignment horizontal="center"/>
    </xf>
    <xf numFmtId="0" fontId="20" fillId="9" borderId="47" xfId="0" applyFont="1" applyFill="1" applyBorder="1"/>
    <xf numFmtId="0" fontId="28" fillId="14" borderId="61" xfId="0" applyFont="1" applyFill="1" applyBorder="1" applyAlignment="1">
      <alignment horizontal="center"/>
    </xf>
    <xf numFmtId="3" fontId="22" fillId="9" borderId="54" xfId="0" applyNumberFormat="1" applyFont="1" applyFill="1" applyBorder="1"/>
    <xf numFmtId="3" fontId="22" fillId="9" borderId="48" xfId="0" applyNumberFormat="1" applyFont="1" applyFill="1" applyBorder="1"/>
    <xf numFmtId="3" fontId="22" fillId="9" borderId="51" xfId="0" applyNumberFormat="1" applyFont="1" applyFill="1" applyBorder="1"/>
    <xf numFmtId="0" fontId="22" fillId="9" borderId="30" xfId="0" applyFont="1" applyFill="1" applyBorder="1"/>
    <xf numFmtId="0" fontId="23" fillId="9" borderId="30" xfId="0" applyFont="1" applyFill="1" applyBorder="1" applyAlignment="1">
      <alignment horizontal="center"/>
    </xf>
    <xf numFmtId="0" fontId="23" fillId="9" borderId="50" xfId="0" applyFont="1" applyFill="1" applyBorder="1" applyAlignment="1">
      <alignment horizontal="center"/>
    </xf>
    <xf numFmtId="0" fontId="23" fillId="3" borderId="38" xfId="0" applyFont="1" applyFill="1" applyBorder="1"/>
    <xf numFmtId="0" fontId="12" fillId="9" borderId="54" xfId="0" applyFont="1" applyFill="1" applyBorder="1"/>
    <xf numFmtId="0" fontId="23" fillId="3" borderId="30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9" borderId="19" xfId="0" applyFont="1" applyFill="1" applyBorder="1" applyAlignment="1">
      <alignment horizontal="center"/>
    </xf>
    <xf numFmtId="0" fontId="23" fillId="9" borderId="60" xfId="0" applyFont="1" applyFill="1" applyBorder="1" applyAlignment="1">
      <alignment horizontal="center"/>
    </xf>
    <xf numFmtId="0" fontId="23" fillId="3" borderId="59" xfId="0" applyFont="1" applyFill="1" applyBorder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/>
    <xf numFmtId="4" fontId="0" fillId="17" borderId="1" xfId="0" applyNumberFormat="1" applyFill="1" applyBorder="1" applyAlignment="1">
      <alignment vertical="top"/>
    </xf>
    <xf numFmtId="10" fontId="0" fillId="17" borderId="1" xfId="0" applyNumberFormat="1" applyFill="1" applyBorder="1" applyAlignment="1">
      <alignment horizontal="center" vertical="center"/>
    </xf>
    <xf numFmtId="4" fontId="0" fillId="17" borderId="1" xfId="0" applyNumberFormat="1" applyFill="1" applyBorder="1"/>
    <xf numFmtId="0" fontId="1" fillId="17" borderId="1" xfId="0" applyFont="1" applyFill="1" applyBorder="1"/>
    <xf numFmtId="4" fontId="37" fillId="19" borderId="79" xfId="0" applyNumberFormat="1" applyFont="1" applyFill="1" applyBorder="1" applyAlignment="1">
      <alignment vertical="center"/>
    </xf>
    <xf numFmtId="4" fontId="37" fillId="19" borderId="31" xfId="0" applyNumberFormat="1" applyFont="1" applyFill="1" applyBorder="1" applyAlignment="1">
      <alignment vertical="center"/>
    </xf>
    <xf numFmtId="4" fontId="37" fillId="19" borderId="80" xfId="0" applyNumberFormat="1" applyFont="1" applyFill="1" applyBorder="1" applyAlignment="1">
      <alignment vertical="center"/>
    </xf>
    <xf numFmtId="0" fontId="2" fillId="17" borderId="40" xfId="0" applyFont="1" applyFill="1" applyBorder="1" applyAlignment="1">
      <alignment horizontal="center" vertical="center" wrapText="1"/>
    </xf>
    <xf numFmtId="0" fontId="2" fillId="17" borderId="46" xfId="0" applyFont="1" applyFill="1" applyBorder="1" applyAlignment="1">
      <alignment horizontal="center" vertical="center" wrapText="1"/>
    </xf>
    <xf numFmtId="4" fontId="2" fillId="17" borderId="46" xfId="0" applyNumberFormat="1" applyFont="1" applyFill="1" applyBorder="1" applyAlignment="1">
      <alignment horizontal="center" vertical="center" wrapText="1"/>
    </xf>
    <xf numFmtId="4" fontId="3" fillId="17" borderId="46" xfId="0" applyNumberFormat="1" applyFont="1" applyFill="1" applyBorder="1" applyAlignment="1">
      <alignment horizontal="center" vertical="center" wrapText="1"/>
    </xf>
    <xf numFmtId="4" fontId="3" fillId="17" borderId="42" xfId="0" applyNumberFormat="1" applyFont="1" applyFill="1" applyBorder="1" applyAlignment="1">
      <alignment horizontal="center" vertical="center" wrapText="1"/>
    </xf>
    <xf numFmtId="0" fontId="0" fillId="17" borderId="43" xfId="0" applyFill="1" applyBorder="1" applyAlignment="1">
      <alignment horizontal="center" vertical="center"/>
    </xf>
    <xf numFmtId="4" fontId="0" fillId="17" borderId="44" xfId="0" applyNumberFormat="1" applyFill="1" applyBorder="1"/>
    <xf numFmtId="0" fontId="0" fillId="17" borderId="37" xfId="0" applyFill="1" applyBorder="1"/>
    <xf numFmtId="0" fontId="2" fillId="17" borderId="38" xfId="0" applyFont="1" applyFill="1" applyBorder="1" applyAlignment="1">
      <alignment horizontal="right"/>
    </xf>
    <xf numFmtId="4" fontId="1" fillId="17" borderId="38" xfId="0" applyNumberFormat="1" applyFont="1" applyFill="1" applyBorder="1"/>
    <xf numFmtId="0" fontId="0" fillId="17" borderId="38" xfId="0" applyFill="1" applyBorder="1"/>
    <xf numFmtId="0" fontId="20" fillId="9" borderId="52" xfId="0" applyFont="1" applyFill="1" applyBorder="1"/>
    <xf numFmtId="0" fontId="22" fillId="9" borderId="53" xfId="0" applyFont="1" applyFill="1" applyBorder="1" applyAlignment="1">
      <alignment horizontal="center"/>
    </xf>
    <xf numFmtId="0" fontId="22" fillId="9" borderId="50" xfId="0" applyFont="1" applyFill="1" applyBorder="1"/>
    <xf numFmtId="10" fontId="20" fillId="3" borderId="53" xfId="0" applyNumberFormat="1" applyFont="1" applyFill="1" applyBorder="1" applyAlignment="1">
      <alignment horizontal="center"/>
    </xf>
    <xf numFmtId="0" fontId="20" fillId="3" borderId="54" xfId="0" applyFont="1" applyFill="1" applyBorder="1"/>
    <xf numFmtId="0" fontId="20" fillId="9" borderId="54" xfId="0" applyFont="1" applyFill="1" applyBorder="1"/>
    <xf numFmtId="0" fontId="20" fillId="9" borderId="53" xfId="0" applyFont="1" applyFill="1" applyBorder="1" applyAlignment="1">
      <alignment horizontal="center"/>
    </xf>
    <xf numFmtId="0" fontId="2" fillId="17" borderId="42" xfId="0" applyFont="1" applyFill="1" applyBorder="1" applyAlignment="1">
      <alignment horizontal="center" vertical="center" wrapText="1"/>
    </xf>
    <xf numFmtId="0" fontId="0" fillId="17" borderId="43" xfId="0" applyFill="1" applyBorder="1"/>
    <xf numFmtId="2" fontId="0" fillId="17" borderId="1" xfId="0" applyNumberFormat="1" applyFill="1" applyBorder="1"/>
    <xf numFmtId="2" fontId="0" fillId="17" borderId="44" xfId="0" applyNumberFormat="1" applyFill="1" applyBorder="1"/>
    <xf numFmtId="10" fontId="0" fillId="17" borderId="1" xfId="0" applyNumberFormat="1" applyFill="1" applyBorder="1"/>
    <xf numFmtId="0" fontId="23" fillId="3" borderId="62" xfId="0" applyFont="1" applyFill="1" applyBorder="1" applyAlignment="1">
      <alignment horizontal="center"/>
    </xf>
    <xf numFmtId="2" fontId="28" fillId="14" borderId="33" xfId="0" applyNumberFormat="1" applyFont="1" applyFill="1" applyBorder="1"/>
    <xf numFmtId="0" fontId="23" fillId="9" borderId="53" xfId="0" applyFont="1" applyFill="1" applyBorder="1" applyAlignment="1">
      <alignment horizontal="center"/>
    </xf>
    <xf numFmtId="4" fontId="37" fillId="13" borderId="88" xfId="0" applyNumberFormat="1" applyFont="1" applyFill="1" applyBorder="1" applyAlignment="1">
      <alignment vertical="center"/>
    </xf>
    <xf numFmtId="4" fontId="37" fillId="13" borderId="89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horizontal="right"/>
    </xf>
    <xf numFmtId="164" fontId="20" fillId="3" borderId="48" xfId="0" applyNumberFormat="1" applyFont="1" applyFill="1" applyBorder="1" applyAlignment="1">
      <alignment horizontal="right"/>
    </xf>
    <xf numFmtId="10" fontId="20" fillId="3" borderId="30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wrapText="1"/>
    </xf>
    <xf numFmtId="0" fontId="21" fillId="16" borderId="0" xfId="0" applyFont="1" applyFill="1"/>
    <xf numFmtId="0" fontId="21" fillId="16" borderId="0" xfId="0" applyFont="1" applyFill="1" applyAlignment="1">
      <alignment horizontal="left"/>
    </xf>
    <xf numFmtId="0" fontId="21" fillId="22" borderId="30" xfId="0" applyFont="1" applyFill="1" applyBorder="1"/>
    <xf numFmtId="44" fontId="0" fillId="11" borderId="1" xfId="0" applyNumberFormat="1" applyFill="1" applyBorder="1" applyAlignment="1">
      <alignment horizontal="center"/>
    </xf>
    <xf numFmtId="0" fontId="0" fillId="24" borderId="0" xfId="0" applyFill="1"/>
    <xf numFmtId="0" fontId="0" fillId="24" borderId="38" xfId="0" applyFill="1" applyBorder="1"/>
    <xf numFmtId="0" fontId="0" fillId="24" borderId="30" xfId="0" applyFill="1" applyBorder="1"/>
    <xf numFmtId="0" fontId="33" fillId="24" borderId="30" xfId="0" applyFont="1" applyFill="1" applyBorder="1"/>
    <xf numFmtId="0" fontId="0" fillId="24" borderId="52" xfId="0" applyFill="1" applyBorder="1"/>
    <xf numFmtId="0" fontId="0" fillId="24" borderId="53" xfId="0" applyFill="1" applyBorder="1"/>
    <xf numFmtId="0" fontId="0" fillId="24" borderId="47" xfId="0" applyFill="1" applyBorder="1"/>
    <xf numFmtId="0" fontId="0" fillId="24" borderId="48" xfId="0" applyFill="1" applyBorder="1"/>
    <xf numFmtId="10" fontId="0" fillId="24" borderId="48" xfId="0" applyNumberFormat="1" applyFill="1" applyBorder="1"/>
    <xf numFmtId="0" fontId="33" fillId="24" borderId="47" xfId="0" applyFont="1" applyFill="1" applyBorder="1"/>
    <xf numFmtId="169" fontId="33" fillId="24" borderId="48" xfId="0" applyNumberFormat="1" applyFont="1" applyFill="1" applyBorder="1"/>
    <xf numFmtId="0" fontId="33" fillId="24" borderId="49" xfId="0" applyFont="1" applyFill="1" applyBorder="1"/>
    <xf numFmtId="0" fontId="33" fillId="24" borderId="50" xfId="0" applyFont="1" applyFill="1" applyBorder="1"/>
    <xf numFmtId="169" fontId="33" fillId="24" borderId="51" xfId="0" applyNumberFormat="1" applyFont="1" applyFill="1" applyBorder="1"/>
    <xf numFmtId="0" fontId="0" fillId="24" borderId="49" xfId="0" applyFill="1" applyBorder="1"/>
    <xf numFmtId="4" fontId="0" fillId="24" borderId="54" xfId="0" applyNumberFormat="1" applyFill="1" applyBorder="1"/>
    <xf numFmtId="4" fontId="0" fillId="24" borderId="48" xfId="0" applyNumberFormat="1" applyFill="1" applyBorder="1"/>
    <xf numFmtId="0" fontId="0" fillId="24" borderId="50" xfId="0" applyFill="1" applyBorder="1"/>
    <xf numFmtId="4" fontId="0" fillId="24" borderId="51" xfId="0" applyNumberFormat="1" applyFill="1" applyBorder="1"/>
    <xf numFmtId="0" fontId="32" fillId="16" borderId="0" xfId="0" applyFont="1" applyFill="1"/>
    <xf numFmtId="0" fontId="32" fillId="16" borderId="0" xfId="0" applyFont="1" applyFill="1" applyAlignment="1">
      <alignment vertical="center"/>
    </xf>
    <xf numFmtId="0" fontId="21" fillId="11" borderId="4" xfId="0" applyFont="1" applyFill="1" applyBorder="1"/>
    <xf numFmtId="0" fontId="23" fillId="3" borderId="50" xfId="0" applyFont="1" applyFill="1" applyBorder="1" applyAlignment="1">
      <alignment horizontal="center"/>
    </xf>
    <xf numFmtId="4" fontId="0" fillId="11" borderId="11" xfId="0" applyNumberFormat="1" applyFill="1" applyBorder="1"/>
    <xf numFmtId="0" fontId="18" fillId="11" borderId="34" xfId="0" applyFont="1" applyFill="1" applyBorder="1" applyAlignment="1">
      <alignment horizontal="center"/>
    </xf>
    <xf numFmtId="0" fontId="18" fillId="11" borderId="35" xfId="0" applyFont="1" applyFill="1" applyBorder="1" applyAlignment="1">
      <alignment horizontal="center"/>
    </xf>
    <xf numFmtId="2" fontId="18" fillId="11" borderId="36" xfId="0" applyNumberFormat="1" applyFont="1" applyFill="1" applyBorder="1" applyAlignment="1">
      <alignment horizontal="center"/>
    </xf>
    <xf numFmtId="41" fontId="23" fillId="9" borderId="48" xfId="0" applyNumberFormat="1" applyFont="1" applyFill="1" applyBorder="1"/>
    <xf numFmtId="41" fontId="23" fillId="9" borderId="51" xfId="0" applyNumberFormat="1" applyFont="1" applyFill="1" applyBorder="1"/>
    <xf numFmtId="41" fontId="23" fillId="3" borderId="39" xfId="0" applyNumberFormat="1" applyFont="1" applyFill="1" applyBorder="1"/>
    <xf numFmtId="41" fontId="23" fillId="3" borderId="30" xfId="0" applyNumberFormat="1" applyFont="1" applyFill="1" applyBorder="1"/>
    <xf numFmtId="41" fontId="23" fillId="3" borderId="32" xfId="0" applyNumberFormat="1" applyFont="1" applyFill="1" applyBorder="1"/>
    <xf numFmtId="41" fontId="23" fillId="9" borderId="19" xfId="0" applyNumberFormat="1" applyFont="1" applyFill="1" applyBorder="1"/>
    <xf numFmtId="41" fontId="23" fillId="9" borderId="60" xfId="0" applyNumberFormat="1" applyFont="1" applyFill="1" applyBorder="1"/>
    <xf numFmtId="41" fontId="23" fillId="3" borderId="59" xfId="0" applyNumberFormat="1" applyFont="1" applyFill="1" applyBorder="1"/>
    <xf numFmtId="41" fontId="23" fillId="3" borderId="63" xfId="0" applyNumberFormat="1" applyFont="1" applyFill="1" applyBorder="1"/>
    <xf numFmtId="41" fontId="23" fillId="3" borderId="51" xfId="0" applyNumberFormat="1" applyFont="1" applyFill="1" applyBorder="1"/>
    <xf numFmtId="3" fontId="20" fillId="3" borderId="48" xfId="0" applyNumberFormat="1" applyFont="1" applyFill="1" applyBorder="1" applyAlignment="1">
      <alignment horizontal="right"/>
    </xf>
    <xf numFmtId="3" fontId="20" fillId="3" borderId="48" xfId="0" applyNumberFormat="1" applyFont="1" applyFill="1" applyBorder="1"/>
    <xf numFmtId="3" fontId="20" fillId="9" borderId="54" xfId="0" applyNumberFormat="1" applyFont="1" applyFill="1" applyBorder="1"/>
    <xf numFmtId="3" fontId="20" fillId="9" borderId="48" xfId="0" applyNumberFormat="1" applyFont="1" applyFill="1" applyBorder="1"/>
    <xf numFmtId="3" fontId="28" fillId="14" borderId="98" xfId="0" applyNumberFormat="1" applyFont="1" applyFill="1" applyBorder="1"/>
    <xf numFmtId="41" fontId="22" fillId="3" borderId="48" xfId="0" applyNumberFormat="1" applyFont="1" applyFill="1" applyBorder="1" applyAlignment="1">
      <alignment horizontal="right"/>
    </xf>
    <xf numFmtId="41" fontId="22" fillId="3" borderId="51" xfId="0" applyNumberFormat="1" applyFont="1" applyFill="1" applyBorder="1" applyAlignment="1">
      <alignment horizontal="right"/>
    </xf>
    <xf numFmtId="41" fontId="22" fillId="9" borderId="51" xfId="0" applyNumberFormat="1" applyFont="1" applyFill="1" applyBorder="1"/>
    <xf numFmtId="41" fontId="22" fillId="3" borderId="51" xfId="0" applyNumberFormat="1" applyFont="1" applyFill="1" applyBorder="1"/>
    <xf numFmtId="41" fontId="22" fillId="9" borderId="48" xfId="0" applyNumberFormat="1" applyFont="1" applyFill="1" applyBorder="1"/>
    <xf numFmtId="41" fontId="22" fillId="3" borderId="54" xfId="0" applyNumberFormat="1" applyFont="1" applyFill="1" applyBorder="1"/>
    <xf numFmtId="41" fontId="22" fillId="9" borderId="54" xfId="0" applyNumberFormat="1" applyFont="1" applyFill="1" applyBorder="1"/>
    <xf numFmtId="0" fontId="44" fillId="24" borderId="30" xfId="5" applyFont="1" applyFill="1" applyBorder="1" applyAlignment="1">
      <alignment vertical="center"/>
    </xf>
    <xf numFmtId="0" fontId="44" fillId="24" borderId="59" xfId="5" applyFont="1" applyFill="1" applyBorder="1" applyAlignment="1">
      <alignment vertical="center"/>
    </xf>
    <xf numFmtId="0" fontId="44" fillId="24" borderId="47" xfId="5" applyFont="1" applyFill="1" applyBorder="1" applyAlignment="1">
      <alignment vertical="center"/>
    </xf>
    <xf numFmtId="0" fontId="44" fillId="24" borderId="48" xfId="5" applyFont="1" applyFill="1" applyBorder="1" applyAlignment="1">
      <alignment vertical="center"/>
    </xf>
    <xf numFmtId="9" fontId="44" fillId="24" borderId="48" xfId="5" applyNumberFormat="1" applyFont="1" applyFill="1" applyBorder="1" applyAlignment="1">
      <alignment vertical="center"/>
    </xf>
    <xf numFmtId="0" fontId="34" fillId="24" borderId="47" xfId="5" applyFont="1" applyFill="1" applyBorder="1" applyAlignment="1">
      <alignment vertical="center"/>
    </xf>
    <xf numFmtId="0" fontId="34" fillId="24" borderId="30" xfId="5" applyFont="1" applyFill="1" applyBorder="1" applyAlignment="1">
      <alignment vertical="center"/>
    </xf>
    <xf numFmtId="0" fontId="44" fillId="24" borderId="75" xfId="5" applyFont="1" applyFill="1" applyBorder="1" applyAlignment="1">
      <alignment vertical="center"/>
    </xf>
    <xf numFmtId="41" fontId="44" fillId="24" borderId="76" xfId="5" applyNumberFormat="1" applyFont="1" applyFill="1" applyBorder="1" applyAlignment="1">
      <alignment vertical="center"/>
    </xf>
    <xf numFmtId="3" fontId="0" fillId="24" borderId="54" xfId="0" applyNumberFormat="1" applyFill="1" applyBorder="1"/>
    <xf numFmtId="0" fontId="46" fillId="0" borderId="0" xfId="5" applyFont="1" applyAlignment="1"/>
    <xf numFmtId="0" fontId="21" fillId="4" borderId="0" xfId="0" applyFont="1" applyFill="1"/>
    <xf numFmtId="9" fontId="0" fillId="25" borderId="44" xfId="0" applyNumberFormat="1" applyFill="1" applyBorder="1"/>
    <xf numFmtId="0" fontId="0" fillId="25" borderId="44" xfId="0" applyFill="1" applyBorder="1"/>
    <xf numFmtId="10" fontId="5" fillId="25" borderId="65" xfId="0" applyNumberFormat="1" applyFont="1" applyFill="1" applyBorder="1"/>
    <xf numFmtId="167" fontId="0" fillId="25" borderId="44" xfId="0" applyNumberFormat="1" applyFill="1" applyBorder="1"/>
    <xf numFmtId="0" fontId="22" fillId="9" borderId="75" xfId="0" applyFont="1" applyFill="1" applyBorder="1"/>
    <xf numFmtId="3" fontId="22" fillId="9" borderId="76" xfId="0" applyNumberFormat="1" applyFont="1" applyFill="1" applyBorder="1"/>
    <xf numFmtId="0" fontId="14" fillId="16" borderId="0" xfId="0" applyFont="1" applyFill="1"/>
    <xf numFmtId="41" fontId="0" fillId="6" borderId="0" xfId="0" applyNumberFormat="1" applyFill="1"/>
    <xf numFmtId="0" fontId="21" fillId="0" borderId="0" xfId="0" applyFont="1"/>
    <xf numFmtId="4" fontId="0" fillId="17" borderId="10" xfId="0" applyNumberFormat="1" applyFill="1" applyBorder="1"/>
    <xf numFmtId="4" fontId="0" fillId="17" borderId="65" xfId="0" applyNumberFormat="1" applyFill="1" applyBorder="1"/>
    <xf numFmtId="0" fontId="5" fillId="19" borderId="34" xfId="0" applyFont="1" applyFill="1" applyBorder="1"/>
    <xf numFmtId="170" fontId="5" fillId="19" borderId="100" xfId="0" applyNumberFormat="1" applyFont="1" applyFill="1" applyBorder="1" applyAlignment="1">
      <alignment vertical="top"/>
    </xf>
    <xf numFmtId="170" fontId="5" fillId="19" borderId="101" xfId="0" applyNumberFormat="1" applyFont="1" applyFill="1" applyBorder="1" applyAlignment="1">
      <alignment vertical="top"/>
    </xf>
    <xf numFmtId="0" fontId="0" fillId="28" borderId="0" xfId="0" applyFill="1"/>
    <xf numFmtId="0" fontId="41" fillId="16" borderId="0" xfId="0" applyFont="1" applyFill="1" applyAlignment="1">
      <alignment vertical="center"/>
    </xf>
    <xf numFmtId="4" fontId="2" fillId="16" borderId="0" xfId="0" applyNumberFormat="1" applyFont="1" applyFill="1" applyAlignment="1">
      <alignment vertical="center"/>
    </xf>
    <xf numFmtId="0" fontId="2" fillId="16" borderId="0" xfId="0" applyFont="1" applyFill="1" applyAlignment="1">
      <alignment horizontal="center" vertical="center" wrapText="1"/>
    </xf>
    <xf numFmtId="4" fontId="3" fillId="16" borderId="0" xfId="0" applyNumberFormat="1" applyFont="1" applyFill="1" applyAlignment="1">
      <alignment horizontal="center" vertical="center" wrapText="1"/>
    </xf>
    <xf numFmtId="10" fontId="0" fillId="16" borderId="0" xfId="0" applyNumberFormat="1" applyFill="1" applyAlignment="1">
      <alignment horizontal="center" vertical="center"/>
    </xf>
    <xf numFmtId="4" fontId="0" fillId="16" borderId="0" xfId="0" applyNumberFormat="1" applyFill="1"/>
    <xf numFmtId="44" fontId="2" fillId="16" borderId="0" xfId="0" applyNumberFormat="1" applyFont="1" applyFill="1"/>
    <xf numFmtId="0" fontId="8" fillId="16" borderId="0" xfId="0" applyFont="1" applyFill="1" applyAlignment="1">
      <alignment horizontal="center"/>
    </xf>
    <xf numFmtId="0" fontId="5" fillId="16" borderId="0" xfId="0" applyFont="1" applyFill="1" applyAlignment="1">
      <alignment horizontal="left"/>
    </xf>
    <xf numFmtId="10" fontId="5" fillId="16" borderId="0" xfId="0" applyNumberFormat="1" applyFont="1" applyFill="1" applyAlignment="1">
      <alignment horizontal="center"/>
    </xf>
    <xf numFmtId="44" fontId="6" fillId="16" borderId="0" xfId="0" applyNumberFormat="1" applyFont="1" applyFill="1"/>
    <xf numFmtId="2" fontId="6" fillId="22" borderId="94" xfId="0" applyNumberFormat="1" applyFont="1" applyFill="1" applyBorder="1" applyAlignment="1">
      <alignment horizontal="center"/>
    </xf>
    <xf numFmtId="44" fontId="6" fillId="22" borderId="51" xfId="0" applyNumberFormat="1" applyFont="1" applyFill="1" applyBorder="1"/>
    <xf numFmtId="0" fontId="5" fillId="14" borderId="40" xfId="0" applyFont="1" applyFill="1" applyBorder="1"/>
    <xf numFmtId="170" fontId="5" fillId="22" borderId="46" xfId="0" applyNumberFormat="1" applyFont="1" applyFill="1" applyBorder="1" applyAlignment="1">
      <alignment vertical="top"/>
    </xf>
    <xf numFmtId="170" fontId="5" fillId="22" borderId="42" xfId="0" applyNumberFormat="1" applyFont="1" applyFill="1" applyBorder="1" applyAlignment="1">
      <alignment vertical="top"/>
    </xf>
    <xf numFmtId="0" fontId="7" fillId="14" borderId="43" xfId="0" applyFont="1" applyFill="1" applyBorder="1" applyAlignment="1">
      <alignment horizontal="right"/>
    </xf>
    <xf numFmtId="170" fontId="7" fillId="22" borderId="1" xfId="0" applyNumberFormat="1" applyFont="1" applyFill="1" applyBorder="1" applyAlignment="1">
      <alignment horizontal="left" vertical="top"/>
    </xf>
    <xf numFmtId="170" fontId="7" fillId="22" borderId="44" xfId="0" applyNumberFormat="1" applyFont="1" applyFill="1" applyBorder="1" applyAlignment="1">
      <alignment horizontal="left" vertical="top"/>
    </xf>
    <xf numFmtId="0" fontId="7" fillId="14" borderId="27" xfId="0" applyFont="1" applyFill="1" applyBorder="1" applyAlignment="1">
      <alignment horizontal="right"/>
    </xf>
    <xf numFmtId="170" fontId="7" fillId="22" borderId="28" xfId="0" applyNumberFormat="1" applyFont="1" applyFill="1" applyBorder="1" applyAlignment="1">
      <alignment horizontal="left" vertical="top"/>
    </xf>
    <xf numFmtId="170" fontId="7" fillId="22" borderId="29" xfId="0" applyNumberFormat="1" applyFont="1" applyFill="1" applyBorder="1" applyAlignment="1">
      <alignment horizontal="left" vertical="top"/>
    </xf>
    <xf numFmtId="0" fontId="5" fillId="14" borderId="109" xfId="0" applyFont="1" applyFill="1" applyBorder="1"/>
    <xf numFmtId="0" fontId="7" fillId="14" borderId="47" xfId="0" applyFont="1" applyFill="1" applyBorder="1" applyAlignment="1">
      <alignment horizontal="right"/>
    </xf>
    <xf numFmtId="0" fontId="7" fillId="14" borderId="49" xfId="0" applyFont="1" applyFill="1" applyBorder="1" applyAlignment="1">
      <alignment horizontal="right"/>
    </xf>
    <xf numFmtId="4" fontId="2" fillId="21" borderId="55" xfId="0" applyNumberFormat="1" applyFont="1" applyFill="1" applyBorder="1" applyAlignment="1">
      <alignment horizontal="center" vertical="center" wrapText="1"/>
    </xf>
    <xf numFmtId="4" fontId="2" fillId="21" borderId="56" xfId="0" applyNumberFormat="1" applyFont="1" applyFill="1" applyBorder="1" applyAlignment="1">
      <alignment horizontal="center" vertical="center" wrapText="1"/>
    </xf>
    <xf numFmtId="0" fontId="49" fillId="21" borderId="109" xfId="0" applyFont="1" applyFill="1" applyBorder="1" applyAlignment="1">
      <alignment horizontal="center" vertical="center" wrapText="1"/>
    </xf>
    <xf numFmtId="0" fontId="21" fillId="17" borderId="1" xfId="0" applyFont="1" applyFill="1" applyBorder="1"/>
    <xf numFmtId="0" fontId="16" fillId="9" borderId="52" xfId="0" applyFont="1" applyFill="1" applyBorder="1"/>
    <xf numFmtId="0" fontId="16" fillId="9" borderId="47" xfId="0" applyFont="1" applyFill="1" applyBorder="1"/>
    <xf numFmtId="0" fontId="16" fillId="9" borderId="49" xfId="0" applyFont="1" applyFill="1" applyBorder="1"/>
    <xf numFmtId="0" fontId="8" fillId="9" borderId="47" xfId="0" applyFont="1" applyFill="1" applyBorder="1"/>
    <xf numFmtId="0" fontId="8" fillId="9" borderId="49" xfId="0" applyFont="1" applyFill="1" applyBorder="1"/>
    <xf numFmtId="0" fontId="16" fillId="9" borderId="30" xfId="0" applyFont="1" applyFill="1" applyBorder="1" applyAlignment="1">
      <alignment horizontal="center" wrapText="1"/>
    </xf>
    <xf numFmtId="0" fontId="16" fillId="9" borderId="50" xfId="0" applyFont="1" applyFill="1" applyBorder="1" applyAlignment="1">
      <alignment horizontal="center" wrapText="1"/>
    </xf>
    <xf numFmtId="0" fontId="16" fillId="9" borderId="30" xfId="0" applyFont="1" applyFill="1" applyBorder="1" applyAlignment="1">
      <alignment horizontal="center"/>
    </xf>
    <xf numFmtId="0" fontId="16" fillId="9" borderId="53" xfId="0" applyFont="1" applyFill="1" applyBorder="1" applyAlignment="1">
      <alignment horizontal="center" wrapText="1"/>
    </xf>
    <xf numFmtId="0" fontId="8" fillId="3" borderId="37" xfId="0" applyFont="1" applyFill="1" applyBorder="1"/>
    <xf numFmtId="0" fontId="12" fillId="9" borderId="52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2" fillId="11" borderId="4" xfId="0" applyFont="1" applyFill="1" applyBorder="1"/>
    <xf numFmtId="0" fontId="16" fillId="11" borderId="12" xfId="0" applyFont="1" applyFill="1" applyBorder="1"/>
    <xf numFmtId="9" fontId="21" fillId="4" borderId="0" xfId="0" applyNumberFormat="1" applyFont="1" applyFill="1"/>
    <xf numFmtId="0" fontId="5" fillId="14" borderId="99" xfId="0" applyFont="1" applyFill="1" applyBorder="1"/>
    <xf numFmtId="170" fontId="5" fillId="22" borderId="100" xfId="0" applyNumberFormat="1" applyFont="1" applyFill="1" applyBorder="1" applyAlignment="1">
      <alignment vertical="top"/>
    </xf>
    <xf numFmtId="170" fontId="5" fillId="22" borderId="101" xfId="0" applyNumberFormat="1" applyFont="1" applyFill="1" applyBorder="1" applyAlignment="1">
      <alignment vertical="top"/>
    </xf>
    <xf numFmtId="0" fontId="21" fillId="14" borderId="43" xfId="0" applyFont="1" applyFill="1" applyBorder="1" applyAlignment="1">
      <alignment horizontal="right"/>
    </xf>
    <xf numFmtId="170" fontId="0" fillId="22" borderId="1" xfId="0" applyNumberFormat="1" applyFill="1" applyBorder="1" applyAlignment="1">
      <alignment horizontal="left" vertical="top"/>
    </xf>
    <xf numFmtId="170" fontId="0" fillId="22" borderId="44" xfId="0" applyNumberFormat="1" applyFill="1" applyBorder="1" applyAlignment="1">
      <alignment horizontal="left" vertical="top"/>
    </xf>
    <xf numFmtId="170" fontId="0" fillId="22" borderId="28" xfId="0" applyNumberFormat="1" applyFill="1" applyBorder="1" applyAlignment="1">
      <alignment horizontal="left" vertical="top"/>
    </xf>
    <xf numFmtId="170" fontId="0" fillId="22" borderId="29" xfId="0" applyNumberFormat="1" applyFill="1" applyBorder="1" applyAlignment="1">
      <alignment horizontal="left" vertical="top"/>
    </xf>
    <xf numFmtId="0" fontId="0" fillId="14" borderId="43" xfId="0" applyFill="1" applyBorder="1" applyAlignment="1">
      <alignment horizontal="right"/>
    </xf>
    <xf numFmtId="0" fontId="5" fillId="14" borderId="52" xfId="0" applyFont="1" applyFill="1" applyBorder="1"/>
    <xf numFmtId="0" fontId="7" fillId="14" borderId="110" xfId="0" applyFont="1" applyFill="1" applyBorder="1" applyAlignment="1">
      <alignment horizontal="right"/>
    </xf>
    <xf numFmtId="0" fontId="5" fillId="14" borderId="34" xfId="0" applyFont="1" applyFill="1" applyBorder="1"/>
    <xf numFmtId="0" fontId="48" fillId="22" borderId="34" xfId="0" applyFont="1" applyFill="1" applyBorder="1" applyAlignment="1">
      <alignment horizontal="right"/>
    </xf>
    <xf numFmtId="170" fontId="13" fillId="22" borderId="101" xfId="0" applyNumberFormat="1" applyFont="1" applyFill="1" applyBorder="1" applyAlignment="1">
      <alignment vertical="top"/>
    </xf>
    <xf numFmtId="2" fontId="6" fillId="22" borderId="108" xfId="0" applyNumberFormat="1" applyFont="1" applyFill="1" applyBorder="1" applyAlignment="1">
      <alignment horizontal="center"/>
    </xf>
    <xf numFmtId="44" fontId="6" fillId="22" borderId="76" xfId="0" applyNumberFormat="1" applyFont="1" applyFill="1" applyBorder="1"/>
    <xf numFmtId="0" fontId="19" fillId="23" borderId="61" xfId="0" applyFont="1" applyFill="1" applyBorder="1" applyAlignment="1">
      <alignment horizontal="right"/>
    </xf>
    <xf numFmtId="0" fontId="10" fillId="23" borderId="62" xfId="0" applyFont="1" applyFill="1" applyBorder="1" applyAlignment="1">
      <alignment horizontal="center"/>
    </xf>
    <xf numFmtId="0" fontId="8" fillId="23" borderId="63" xfId="0" applyFont="1" applyFill="1" applyBorder="1" applyAlignment="1">
      <alignment horizontal="center"/>
    </xf>
    <xf numFmtId="0" fontId="50" fillId="14" borderId="75" xfId="0" applyFont="1" applyFill="1" applyBorder="1" applyAlignment="1">
      <alignment horizontal="right"/>
    </xf>
    <xf numFmtId="3" fontId="50" fillId="14" borderId="107" xfId="0" applyNumberFormat="1" applyFont="1" applyFill="1" applyBorder="1" applyAlignment="1">
      <alignment horizontal="center"/>
    </xf>
    <xf numFmtId="0" fontId="50" fillId="14" borderId="49" xfId="0" applyFont="1" applyFill="1" applyBorder="1" applyAlignment="1">
      <alignment horizontal="right"/>
    </xf>
    <xf numFmtId="3" fontId="50" fillId="14" borderId="95" xfId="0" applyNumberFormat="1" applyFont="1" applyFill="1" applyBorder="1" applyAlignment="1">
      <alignment horizontal="center"/>
    </xf>
    <xf numFmtId="0" fontId="21" fillId="24" borderId="47" xfId="0" applyFont="1" applyFill="1" applyBorder="1"/>
    <xf numFmtId="170" fontId="5" fillId="22" borderId="46" xfId="0" applyNumberFormat="1" applyFont="1" applyFill="1" applyBorder="1" applyAlignment="1">
      <alignment horizontal="right" vertical="top"/>
    </xf>
    <xf numFmtId="170" fontId="15" fillId="22" borderId="100" xfId="0" applyNumberFormat="1" applyFont="1" applyFill="1" applyBorder="1" applyAlignment="1">
      <alignment vertical="top"/>
    </xf>
    <xf numFmtId="0" fontId="21" fillId="11" borderId="40" xfId="0" applyFont="1" applyFill="1" applyBorder="1"/>
    <xf numFmtId="0" fontId="8" fillId="3" borderId="30" xfId="0" applyFont="1" applyFill="1" applyBorder="1"/>
    <xf numFmtId="0" fontId="8" fillId="3" borderId="32" xfId="0" applyFont="1" applyFill="1" applyBorder="1"/>
    <xf numFmtId="0" fontId="8" fillId="9" borderId="19" xfId="0" applyFont="1" applyFill="1" applyBorder="1"/>
    <xf numFmtId="0" fontId="8" fillId="9" borderId="60" xfId="0" applyFont="1" applyFill="1" applyBorder="1"/>
    <xf numFmtId="0" fontId="8" fillId="3" borderId="59" xfId="0" applyFont="1" applyFill="1" applyBorder="1"/>
    <xf numFmtId="0" fontId="8" fillId="9" borderId="52" xfId="0" applyFont="1" applyFill="1" applyBorder="1"/>
    <xf numFmtId="0" fontId="8" fillId="3" borderId="61" xfId="0" applyFont="1" applyFill="1" applyBorder="1"/>
    <xf numFmtId="0" fontId="8" fillId="3" borderId="49" xfId="0" applyFont="1" applyFill="1" applyBorder="1"/>
    <xf numFmtId="0" fontId="16" fillId="9" borderId="53" xfId="0" applyFont="1" applyFill="1" applyBorder="1" applyAlignment="1">
      <alignment horizontal="center"/>
    </xf>
    <xf numFmtId="0" fontId="16" fillId="9" borderId="50" xfId="0" applyFont="1" applyFill="1" applyBorder="1" applyAlignment="1">
      <alignment horizontal="center"/>
    </xf>
    <xf numFmtId="10" fontId="12" fillId="3" borderId="52" xfId="0" applyNumberFormat="1" applyFont="1" applyFill="1" applyBorder="1"/>
    <xf numFmtId="10" fontId="12" fillId="3" borderId="47" xfId="0" applyNumberFormat="1" applyFont="1" applyFill="1" applyBorder="1"/>
    <xf numFmtId="10" fontId="21" fillId="3" borderId="30" xfId="0" applyNumberFormat="1" applyFont="1" applyFill="1" applyBorder="1" applyAlignment="1">
      <alignment horizontal="center"/>
    </xf>
    <xf numFmtId="10" fontId="16" fillId="3" borderId="47" xfId="0" applyNumberFormat="1" applyFont="1" applyFill="1" applyBorder="1"/>
    <xf numFmtId="10" fontId="16" fillId="3" borderId="49" xfId="0" applyNumberFormat="1" applyFont="1" applyFill="1" applyBorder="1"/>
    <xf numFmtId="10" fontId="16" fillId="3" borderId="30" xfId="0" applyNumberFormat="1" applyFont="1" applyFill="1" applyBorder="1" applyAlignment="1">
      <alignment horizontal="center"/>
    </xf>
    <xf numFmtId="10" fontId="16" fillId="3" borderId="50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6" fillId="3" borderId="50" xfId="0" applyFont="1" applyFill="1" applyBorder="1" applyAlignment="1">
      <alignment horizontal="center"/>
    </xf>
    <xf numFmtId="0" fontId="16" fillId="3" borderId="49" xfId="0" applyFont="1" applyFill="1" applyBorder="1"/>
    <xf numFmtId="0" fontId="12" fillId="9" borderId="53" xfId="0" applyFont="1" applyFill="1" applyBorder="1"/>
    <xf numFmtId="0" fontId="12" fillId="9" borderId="30" xfId="0" applyFont="1" applyFill="1" applyBorder="1"/>
    <xf numFmtId="0" fontId="16" fillId="3" borderId="53" xfId="0" applyFont="1" applyFill="1" applyBorder="1" applyAlignment="1">
      <alignment horizontal="center"/>
    </xf>
    <xf numFmtId="0" fontId="16" fillId="3" borderId="59" xfId="0" applyFont="1" applyFill="1" applyBorder="1"/>
    <xf numFmtId="0" fontId="16" fillId="3" borderId="30" xfId="0" applyFont="1" applyFill="1" applyBorder="1"/>
    <xf numFmtId="0" fontId="16" fillId="3" borderId="52" xfId="0" applyFont="1" applyFill="1" applyBorder="1"/>
    <xf numFmtId="3" fontId="28" fillId="14" borderId="111" xfId="0" applyNumberFormat="1" applyFont="1" applyFill="1" applyBorder="1"/>
    <xf numFmtId="10" fontId="16" fillId="3" borderId="49" xfId="0" applyNumberFormat="1" applyFont="1" applyFill="1" applyBorder="1" applyAlignment="1">
      <alignment horizontal="left"/>
    </xf>
    <xf numFmtId="10" fontId="12" fillId="3" borderId="52" xfId="0" applyNumberFormat="1" applyFont="1" applyFill="1" applyBorder="1" applyAlignment="1">
      <alignment horizontal="left"/>
    </xf>
    <xf numFmtId="0" fontId="22" fillId="9" borderId="54" xfId="0" applyFont="1" applyFill="1" applyBorder="1"/>
    <xf numFmtId="0" fontId="17" fillId="14" borderId="33" xfId="0" applyFont="1" applyFill="1" applyBorder="1"/>
    <xf numFmtId="0" fontId="31" fillId="14" borderId="33" xfId="0" applyFont="1" applyFill="1" applyBorder="1" applyAlignment="1">
      <alignment horizontal="left"/>
    </xf>
    <xf numFmtId="0" fontId="17" fillId="14" borderId="34" xfId="0" applyFont="1" applyFill="1" applyBorder="1"/>
    <xf numFmtId="41" fontId="28" fillId="14" borderId="36" xfId="0" applyNumberFormat="1" applyFont="1" applyFill="1" applyBorder="1"/>
    <xf numFmtId="0" fontId="28" fillId="14" borderId="33" xfId="0" applyFont="1" applyFill="1" applyBorder="1" applyAlignment="1">
      <alignment horizontal="center"/>
    </xf>
    <xf numFmtId="0" fontId="31" fillId="14" borderId="34" xfId="0" applyFont="1" applyFill="1" applyBorder="1" applyAlignment="1">
      <alignment horizontal="left"/>
    </xf>
    <xf numFmtId="2" fontId="29" fillId="14" borderId="36" xfId="0" applyNumberFormat="1" applyFont="1" applyFill="1" applyBorder="1" applyAlignment="1">
      <alignment horizontal="right"/>
    </xf>
    <xf numFmtId="0" fontId="30" fillId="14" borderId="33" xfId="0" applyFont="1" applyFill="1" applyBorder="1" applyAlignment="1">
      <alignment horizontal="center"/>
    </xf>
    <xf numFmtId="0" fontId="46" fillId="28" borderId="33" xfId="5" applyFont="1" applyFill="1" applyBorder="1" applyAlignment="1"/>
    <xf numFmtId="0" fontId="17" fillId="14" borderId="75" xfId="0" applyFont="1" applyFill="1" applyBorder="1" applyAlignment="1">
      <alignment horizontal="center"/>
    </xf>
    <xf numFmtId="0" fontId="21" fillId="11" borderId="46" xfId="0" applyFont="1" applyFill="1" applyBorder="1" applyAlignment="1">
      <alignment horizontal="center" wrapText="1"/>
    </xf>
    <xf numFmtId="0" fontId="21" fillId="11" borderId="43" xfId="0" applyFont="1" applyFill="1" applyBorder="1"/>
    <xf numFmtId="0" fontId="21" fillId="11" borderId="64" xfId="0" applyFont="1" applyFill="1" applyBorder="1"/>
    <xf numFmtId="0" fontId="21" fillId="11" borderId="12" xfId="0" applyFont="1" applyFill="1" applyBorder="1"/>
    <xf numFmtId="41" fontId="16" fillId="9" borderId="59" xfId="0" applyNumberFormat="1" applyFont="1" applyFill="1" applyBorder="1" applyAlignment="1">
      <alignment horizontal="center"/>
    </xf>
    <xf numFmtId="0" fontId="5" fillId="22" borderId="30" xfId="0" applyFont="1" applyFill="1" applyBorder="1"/>
    <xf numFmtId="0" fontId="21" fillId="24" borderId="53" xfId="0" applyFont="1" applyFill="1" applyBorder="1"/>
    <xf numFmtId="0" fontId="21" fillId="24" borderId="30" xfId="0" applyFont="1" applyFill="1" applyBorder="1"/>
    <xf numFmtId="0" fontId="16" fillId="3" borderId="62" xfId="0" applyFont="1" applyFill="1" applyBorder="1" applyAlignment="1">
      <alignment horizontal="left"/>
    </xf>
    <xf numFmtId="0" fontId="16" fillId="3" borderId="62" xfId="0" applyFont="1" applyFill="1" applyBorder="1" applyAlignment="1">
      <alignment horizontal="center"/>
    </xf>
    <xf numFmtId="41" fontId="16" fillId="3" borderId="63" xfId="0" applyNumberFormat="1" applyFont="1" applyFill="1" applyBorder="1" applyAlignment="1">
      <alignment horizontal="right"/>
    </xf>
    <xf numFmtId="4" fontId="23" fillId="9" borderId="54" xfId="0" applyNumberFormat="1" applyFont="1" applyFill="1" applyBorder="1"/>
    <xf numFmtId="171" fontId="37" fillId="13" borderId="88" xfId="0" applyNumberFormat="1" applyFont="1" applyFill="1" applyBorder="1" applyAlignment="1">
      <alignment vertical="center"/>
    </xf>
    <xf numFmtId="172" fontId="33" fillId="19" borderId="55" xfId="0" applyNumberFormat="1" applyFont="1" applyFill="1" applyBorder="1" applyAlignment="1">
      <alignment vertical="center"/>
    </xf>
    <xf numFmtId="172" fontId="33" fillId="19" borderId="56" xfId="0" applyNumberFormat="1" applyFont="1" applyFill="1" applyBorder="1" applyAlignment="1">
      <alignment vertical="center"/>
    </xf>
    <xf numFmtId="174" fontId="37" fillId="13" borderId="77" xfId="0" applyNumberFormat="1" applyFont="1" applyFill="1" applyBorder="1" applyAlignment="1">
      <alignment vertical="center"/>
    </xf>
    <xf numFmtId="174" fontId="37" fillId="13" borderId="78" xfId="0" applyNumberFormat="1" applyFont="1" applyFill="1" applyBorder="1" applyAlignment="1">
      <alignment vertical="center"/>
    </xf>
    <xf numFmtId="0" fontId="17" fillId="14" borderId="52" xfId="0" applyFont="1" applyFill="1" applyBorder="1" applyAlignment="1">
      <alignment horizontal="center"/>
    </xf>
    <xf numFmtId="4" fontId="5" fillId="24" borderId="37" xfId="0" applyNumberFormat="1" applyFont="1" applyFill="1" applyBorder="1" applyAlignment="1">
      <alignment horizontal="right"/>
    </xf>
    <xf numFmtId="175" fontId="34" fillId="24" borderId="48" xfId="5" applyNumberFormat="1" applyFont="1" applyFill="1" applyBorder="1" applyAlignment="1">
      <alignment vertical="center"/>
    </xf>
    <xf numFmtId="2" fontId="21" fillId="17" borderId="1" xfId="0" applyNumberFormat="1" applyFont="1" applyFill="1" applyBorder="1"/>
    <xf numFmtId="4" fontId="0" fillId="17" borderId="10" xfId="0" applyNumberFormat="1" applyFill="1" applyBorder="1" applyAlignment="1">
      <alignment vertical="top"/>
    </xf>
    <xf numFmtId="0" fontId="0" fillId="17" borderId="64" xfId="0" applyFill="1" applyBorder="1" applyAlignment="1">
      <alignment horizontal="center" vertical="center"/>
    </xf>
    <xf numFmtId="0" fontId="0" fillId="17" borderId="10" xfId="0" applyFill="1" applyBorder="1"/>
    <xf numFmtId="0" fontId="0" fillId="17" borderId="10" xfId="0" applyFill="1" applyBorder="1" applyAlignment="1">
      <alignment horizontal="center" vertical="center"/>
    </xf>
    <xf numFmtId="10" fontId="0" fillId="17" borderId="10" xfId="0" applyNumberFormat="1" applyFill="1" applyBorder="1" applyAlignment="1">
      <alignment horizontal="center" vertical="center"/>
    </xf>
    <xf numFmtId="4" fontId="2" fillId="17" borderId="96" xfId="0" applyNumberFormat="1" applyFont="1" applyFill="1" applyBorder="1"/>
    <xf numFmtId="165" fontId="2" fillId="17" borderId="96" xfId="0" applyNumberFormat="1" applyFont="1" applyFill="1" applyBorder="1"/>
    <xf numFmtId="165" fontId="2" fillId="17" borderId="97" xfId="0" applyNumberFormat="1" applyFont="1" applyFill="1" applyBorder="1"/>
    <xf numFmtId="0" fontId="0" fillId="17" borderId="30" xfId="0" applyFill="1" applyBorder="1" applyAlignment="1">
      <alignment horizontal="center" vertical="center"/>
    </xf>
    <xf numFmtId="0" fontId="21" fillId="17" borderId="30" xfId="0" applyFont="1" applyFill="1" applyBorder="1"/>
    <xf numFmtId="4" fontId="0" fillId="17" borderId="30" xfId="0" applyNumberFormat="1" applyFill="1" applyBorder="1" applyAlignment="1">
      <alignment vertical="top"/>
    </xf>
    <xf numFmtId="10" fontId="0" fillId="17" borderId="30" xfId="0" applyNumberFormat="1" applyFill="1" applyBorder="1" applyAlignment="1">
      <alignment horizontal="center" vertical="center"/>
    </xf>
    <xf numFmtId="4" fontId="0" fillId="17" borderId="30" xfId="0" applyNumberFormat="1" applyFill="1" applyBorder="1"/>
    <xf numFmtId="0" fontId="0" fillId="17" borderId="47" xfId="0" applyFill="1" applyBorder="1" applyAlignment="1">
      <alignment horizontal="center" vertical="center"/>
    </xf>
    <xf numFmtId="4" fontId="0" fillId="17" borderId="48" xfId="0" applyNumberFormat="1" applyFill="1" applyBorder="1"/>
    <xf numFmtId="0" fontId="32" fillId="28" borderId="0" xfId="0" applyFont="1" applyFill="1" applyAlignment="1">
      <alignment vertical="center"/>
    </xf>
    <xf numFmtId="0" fontId="14" fillId="28" borderId="0" xfId="0" applyFont="1" applyFill="1" applyAlignment="1">
      <alignment vertical="center"/>
    </xf>
    <xf numFmtId="0" fontId="14" fillId="4" borderId="0" xfId="0" applyFont="1" applyFill="1"/>
    <xf numFmtId="0" fontId="0" fillId="29" borderId="57" xfId="0" applyFill="1" applyBorder="1" applyAlignment="1">
      <alignment horizontal="right"/>
    </xf>
    <xf numFmtId="0" fontId="0" fillId="29" borderId="0" xfId="0" applyFill="1"/>
    <xf numFmtId="0" fontId="0" fillId="29" borderId="37" xfId="0" applyFill="1" applyBorder="1" applyAlignment="1">
      <alignment horizontal="right"/>
    </xf>
    <xf numFmtId="0" fontId="0" fillId="29" borderId="38" xfId="0" applyFill="1" applyBorder="1"/>
    <xf numFmtId="0" fontId="44" fillId="29" borderId="47" xfId="5" applyFont="1" applyFill="1" applyBorder="1" applyAlignment="1">
      <alignment vertical="center"/>
    </xf>
    <xf numFmtId="3" fontId="44" fillId="29" borderId="105" xfId="5" applyNumberFormat="1" applyFont="1" applyFill="1" applyBorder="1" applyAlignment="1">
      <alignment vertical="center"/>
    </xf>
    <xf numFmtId="0" fontId="34" fillId="29" borderId="47" xfId="5" applyFont="1" applyFill="1" applyBorder="1" applyAlignment="1">
      <alignment vertical="center"/>
    </xf>
    <xf numFmtId="3" fontId="34" fillId="29" borderId="105" xfId="5" applyNumberFormat="1" applyFont="1" applyFill="1" applyBorder="1" applyAlignment="1">
      <alignment vertical="center"/>
    </xf>
    <xf numFmtId="169" fontId="8" fillId="29" borderId="69" xfId="0" applyNumberFormat="1" applyFont="1" applyFill="1" applyBorder="1" applyAlignment="1">
      <alignment vertical="center"/>
    </xf>
    <xf numFmtId="169" fontId="8" fillId="29" borderId="57" xfId="0" applyNumberFormat="1" applyFont="1" applyFill="1" applyBorder="1" applyAlignment="1">
      <alignment vertical="center"/>
    </xf>
    <xf numFmtId="0" fontId="8" fillId="29" borderId="0" xfId="0" applyFont="1" applyFill="1" applyAlignment="1">
      <alignment vertical="center"/>
    </xf>
    <xf numFmtId="0" fontId="0" fillId="29" borderId="58" xfId="0" applyFill="1" applyBorder="1"/>
    <xf numFmtId="0" fontId="33" fillId="29" borderId="57" xfId="0" applyFont="1" applyFill="1" applyBorder="1" applyAlignment="1">
      <alignment horizontal="right"/>
    </xf>
    <xf numFmtId="169" fontId="33" fillId="29" borderId="0" xfId="0" applyNumberFormat="1" applyFont="1" applyFill="1" applyAlignment="1">
      <alignment horizontal="right"/>
    </xf>
    <xf numFmtId="0" fontId="33" fillId="29" borderId="58" xfId="0" applyFont="1" applyFill="1" applyBorder="1"/>
    <xf numFmtId="0" fontId="33" fillId="29" borderId="37" xfId="0" applyFont="1" applyFill="1" applyBorder="1" applyAlignment="1">
      <alignment horizontal="right"/>
    </xf>
    <xf numFmtId="169" fontId="33" fillId="29" borderId="38" xfId="0" applyNumberFormat="1" applyFont="1" applyFill="1" applyBorder="1" applyAlignment="1">
      <alignment horizontal="right"/>
    </xf>
    <xf numFmtId="0" fontId="33" fillId="29" borderId="39" xfId="0" applyFont="1" applyFill="1" applyBorder="1"/>
    <xf numFmtId="0" fontId="0" fillId="24" borderId="57" xfId="0" applyFill="1" applyBorder="1" applyAlignment="1">
      <alignment horizontal="right"/>
    </xf>
    <xf numFmtId="0" fontId="0" fillId="24" borderId="37" xfId="0" applyFill="1" applyBorder="1" applyAlignment="1">
      <alignment horizontal="right"/>
    </xf>
    <xf numFmtId="2" fontId="5" fillId="29" borderId="39" xfId="0" applyNumberFormat="1" applyFont="1" applyFill="1" applyBorder="1" applyAlignment="1">
      <alignment horizontal="right"/>
    </xf>
    <xf numFmtId="2" fontId="5" fillId="24" borderId="39" xfId="0" applyNumberFormat="1" applyFont="1" applyFill="1" applyBorder="1" applyAlignment="1">
      <alignment horizontal="right"/>
    </xf>
    <xf numFmtId="4" fontId="5" fillId="24" borderId="38" xfId="0" applyNumberFormat="1" applyFont="1" applyFill="1" applyBorder="1" applyAlignment="1">
      <alignment horizontal="left"/>
    </xf>
    <xf numFmtId="0" fontId="27" fillId="29" borderId="69" xfId="0" applyFont="1" applyFill="1" applyBorder="1"/>
    <xf numFmtId="0" fontId="27" fillId="29" borderId="70" xfId="0" applyFont="1" applyFill="1" applyBorder="1"/>
    <xf numFmtId="0" fontId="27" fillId="29" borderId="71" xfId="0" applyFont="1" applyFill="1" applyBorder="1"/>
    <xf numFmtId="0" fontId="27" fillId="29" borderId="57" xfId="0" applyFont="1" applyFill="1" applyBorder="1"/>
    <xf numFmtId="0" fontId="27" fillId="29" borderId="0" xfId="0" applyFont="1" applyFill="1"/>
    <xf numFmtId="0" fontId="27" fillId="29" borderId="58" xfId="0" applyFont="1" applyFill="1" applyBorder="1"/>
    <xf numFmtId="0" fontId="27" fillId="29" borderId="37" xfId="0" applyFont="1" applyFill="1" applyBorder="1"/>
    <xf numFmtId="0" fontId="27" fillId="29" borderId="38" xfId="0" applyFont="1" applyFill="1" applyBorder="1"/>
    <xf numFmtId="0" fontId="27" fillId="29" borderId="39" xfId="0" applyFont="1" applyFill="1" applyBorder="1"/>
    <xf numFmtId="0" fontId="34" fillId="24" borderId="73" xfId="5" applyFont="1" applyFill="1" applyBorder="1" applyAlignment="1">
      <alignment vertical="center"/>
    </xf>
    <xf numFmtId="0" fontId="34" fillId="24" borderId="32" xfId="5" applyFont="1" applyFill="1" applyBorder="1" applyAlignment="1">
      <alignment vertical="center"/>
    </xf>
    <xf numFmtId="43" fontId="34" fillId="24" borderId="74" xfId="5" applyNumberFormat="1" applyFont="1" applyFill="1" applyBorder="1" applyAlignment="1">
      <alignment vertical="center"/>
    </xf>
    <xf numFmtId="0" fontId="34" fillId="29" borderId="73" xfId="5" applyFont="1" applyFill="1" applyBorder="1" applyAlignment="1">
      <alignment vertical="center"/>
    </xf>
    <xf numFmtId="4" fontId="34" fillId="29" borderId="115" xfId="5" applyNumberFormat="1" applyFont="1" applyFill="1" applyBorder="1" applyAlignment="1">
      <alignment vertical="center"/>
    </xf>
    <xf numFmtId="0" fontId="0" fillId="16" borderId="38" xfId="0" applyFill="1" applyBorder="1"/>
    <xf numFmtId="0" fontId="21" fillId="24" borderId="0" xfId="0" applyFont="1" applyFill="1"/>
    <xf numFmtId="0" fontId="21" fillId="24" borderId="38" xfId="0" applyFont="1" applyFill="1" applyBorder="1"/>
    <xf numFmtId="0" fontId="21" fillId="24" borderId="37" xfId="0" applyFont="1" applyFill="1" applyBorder="1" applyAlignment="1">
      <alignment horizontal="right"/>
    </xf>
    <xf numFmtId="3" fontId="5" fillId="24" borderId="39" xfId="0" applyNumberFormat="1" applyFont="1" applyFill="1" applyBorder="1"/>
    <xf numFmtId="0" fontId="21" fillId="24" borderId="57" xfId="0" applyFont="1" applyFill="1" applyBorder="1" applyAlignment="1">
      <alignment horizontal="right"/>
    </xf>
    <xf numFmtId="3" fontId="5" fillId="24" borderId="58" xfId="0" applyNumberFormat="1" applyFont="1" applyFill="1" applyBorder="1"/>
    <xf numFmtId="0" fontId="21" fillId="10" borderId="1" xfId="0" applyFont="1" applyFill="1" applyBorder="1"/>
    <xf numFmtId="0" fontId="21" fillId="11" borderId="1" xfId="0" applyFont="1" applyFill="1" applyBorder="1"/>
    <xf numFmtId="43" fontId="0" fillId="24" borderId="54" xfId="0" applyNumberFormat="1" applyFill="1" applyBorder="1" applyAlignment="1">
      <alignment horizontal="center"/>
    </xf>
    <xf numFmtId="43" fontId="0" fillId="24" borderId="48" xfId="0" applyNumberFormat="1" applyFill="1" applyBorder="1" applyAlignment="1">
      <alignment horizontal="center"/>
    </xf>
    <xf numFmtId="43" fontId="0" fillId="24" borderId="51" xfId="0" applyNumberFormat="1" applyFill="1" applyBorder="1" applyAlignment="1">
      <alignment horizontal="center"/>
    </xf>
    <xf numFmtId="0" fontId="52" fillId="25" borderId="42" xfId="0" applyFont="1" applyFill="1" applyBorder="1" applyAlignment="1">
      <alignment horizontal="center"/>
    </xf>
    <xf numFmtId="10" fontId="5" fillId="25" borderId="29" xfId="0" applyNumberFormat="1" applyFont="1" applyFill="1" applyBorder="1"/>
    <xf numFmtId="0" fontId="53" fillId="25" borderId="102" xfId="0" applyFont="1" applyFill="1" applyBorder="1" applyAlignment="1">
      <alignment horizontal="right"/>
    </xf>
    <xf numFmtId="168" fontId="51" fillId="24" borderId="71" xfId="0" applyNumberFormat="1" applyFont="1" applyFill="1" applyBorder="1" applyAlignment="1">
      <alignment horizontal="left"/>
    </xf>
    <xf numFmtId="168" fontId="51" fillId="24" borderId="58" xfId="0" applyNumberFormat="1" applyFont="1" applyFill="1" applyBorder="1" applyAlignment="1">
      <alignment horizontal="left"/>
    </xf>
    <xf numFmtId="3" fontId="5" fillId="29" borderId="58" xfId="0" applyNumberFormat="1" applyFont="1" applyFill="1" applyBorder="1" applyAlignment="1">
      <alignment horizontal="right"/>
    </xf>
    <xf numFmtId="3" fontId="5" fillId="24" borderId="58" xfId="0" applyNumberFormat="1" applyFont="1" applyFill="1" applyBorder="1" applyAlignment="1">
      <alignment horizontal="right"/>
    </xf>
    <xf numFmtId="0" fontId="17" fillId="14" borderId="114" xfId="0" applyFont="1" applyFill="1" applyBorder="1"/>
    <xf numFmtId="0" fontId="28" fillId="14" borderId="114" xfId="0" applyFont="1" applyFill="1" applyBorder="1" applyAlignment="1">
      <alignment horizontal="center"/>
    </xf>
    <xf numFmtId="41" fontId="28" fillId="14" borderId="39" xfId="0" applyNumberFormat="1" applyFont="1" applyFill="1" applyBorder="1"/>
    <xf numFmtId="10" fontId="8" fillId="3" borderId="53" xfId="0" applyNumberFormat="1" applyFont="1" applyFill="1" applyBorder="1" applyAlignment="1">
      <alignment horizontal="center"/>
    </xf>
    <xf numFmtId="1" fontId="8" fillId="3" borderId="54" xfId="0" applyNumberFormat="1" applyFont="1" applyFill="1" applyBorder="1"/>
    <xf numFmtId="0" fontId="55" fillId="14" borderId="34" xfId="0" applyFont="1" applyFill="1" applyBorder="1"/>
    <xf numFmtId="0" fontId="0" fillId="17" borderId="64" xfId="0" applyFill="1" applyBorder="1"/>
    <xf numFmtId="2" fontId="0" fillId="17" borderId="10" xfId="0" applyNumberFormat="1" applyFill="1" applyBorder="1"/>
    <xf numFmtId="10" fontId="0" fillId="17" borderId="10" xfId="0" applyNumberFormat="1" applyFill="1" applyBorder="1"/>
    <xf numFmtId="2" fontId="0" fillId="17" borderId="65" xfId="0" applyNumberFormat="1" applyFill="1" applyBorder="1"/>
    <xf numFmtId="0" fontId="16" fillId="9" borderId="46" xfId="0" applyFont="1" applyFill="1" applyBorder="1" applyAlignment="1">
      <alignment horizontal="center" wrapText="1"/>
    </xf>
    <xf numFmtId="10" fontId="16" fillId="3" borderId="53" xfId="0" applyNumberFormat="1" applyFont="1" applyFill="1" applyBorder="1" applyAlignment="1">
      <alignment horizontal="center"/>
    </xf>
    <xf numFmtId="0" fontId="16" fillId="3" borderId="59" xfId="0" applyFont="1" applyFill="1" applyBorder="1" applyAlignment="1">
      <alignment horizontal="center"/>
    </xf>
    <xf numFmtId="41" fontId="22" fillId="3" borderId="76" xfId="0" applyNumberFormat="1" applyFont="1" applyFill="1" applyBorder="1"/>
    <xf numFmtId="176" fontId="0" fillId="22" borderId="30" xfId="0" applyNumberFormat="1" applyFill="1" applyBorder="1"/>
    <xf numFmtId="176" fontId="5" fillId="22" borderId="30" xfId="0" applyNumberFormat="1" applyFont="1" applyFill="1" applyBorder="1"/>
    <xf numFmtId="0" fontId="5" fillId="29" borderId="37" xfId="0" applyFont="1" applyFill="1" applyBorder="1" applyAlignment="1">
      <alignment horizontal="right"/>
    </xf>
    <xf numFmtId="10" fontId="0" fillId="29" borderId="39" xfId="0" applyNumberFormat="1" applyFill="1" applyBorder="1"/>
    <xf numFmtId="0" fontId="5" fillId="29" borderId="69" xfId="0" applyFont="1" applyFill="1" applyBorder="1" applyAlignment="1">
      <alignment horizontal="right"/>
    </xf>
    <xf numFmtId="10" fontId="0" fillId="29" borderId="71" xfId="0" applyNumberFormat="1" applyFill="1" applyBorder="1"/>
    <xf numFmtId="4" fontId="5" fillId="29" borderId="0" xfId="0" applyNumberFormat="1" applyFont="1" applyFill="1" applyAlignment="1">
      <alignment horizontal="left"/>
    </xf>
    <xf numFmtId="0" fontId="5" fillId="29" borderId="57" xfId="0" applyFont="1" applyFill="1" applyBorder="1" applyAlignment="1">
      <alignment horizontal="right"/>
    </xf>
    <xf numFmtId="10" fontId="0" fillId="29" borderId="58" xfId="0" applyNumberFormat="1" applyFill="1" applyBorder="1"/>
    <xf numFmtId="10" fontId="0" fillId="29" borderId="105" xfId="0" applyNumberFormat="1" applyFill="1" applyBorder="1" applyAlignment="1">
      <alignment horizontal="center"/>
    </xf>
    <xf numFmtId="0" fontId="21" fillId="24" borderId="47" xfId="0" applyFont="1" applyFill="1" applyBorder="1" applyAlignment="1">
      <alignment horizontal="right"/>
    </xf>
    <xf numFmtId="0" fontId="5" fillId="24" borderId="47" xfId="0" applyFont="1" applyFill="1" applyBorder="1"/>
    <xf numFmtId="0" fontId="5" fillId="24" borderId="49" xfId="0" applyFont="1" applyFill="1" applyBorder="1"/>
    <xf numFmtId="0" fontId="5" fillId="24" borderId="52" xfId="0" applyFont="1" applyFill="1" applyBorder="1"/>
    <xf numFmtId="0" fontId="5" fillId="24" borderId="73" xfId="0" applyFont="1" applyFill="1" applyBorder="1"/>
    <xf numFmtId="4" fontId="0" fillId="24" borderId="74" xfId="0" applyNumberFormat="1" applyFill="1" applyBorder="1"/>
    <xf numFmtId="0" fontId="5" fillId="24" borderId="120" xfId="0" applyFont="1" applyFill="1" applyBorder="1"/>
    <xf numFmtId="4" fontId="0" fillId="24" borderId="89" xfId="0" applyNumberFormat="1" applyFill="1" applyBorder="1"/>
    <xf numFmtId="10" fontId="5" fillId="24" borderId="113" xfId="0" applyNumberFormat="1" applyFont="1" applyFill="1" applyBorder="1" applyAlignment="1">
      <alignment horizontal="left"/>
    </xf>
    <xf numFmtId="9" fontId="44" fillId="29" borderId="105" xfId="5" applyNumberFormat="1" applyFont="1" applyFill="1" applyBorder="1" applyAlignment="1">
      <alignment vertical="center"/>
    </xf>
    <xf numFmtId="0" fontId="7" fillId="24" borderId="69" xfId="0" applyFont="1" applyFill="1" applyBorder="1" applyAlignment="1">
      <alignment horizontal="right"/>
    </xf>
    <xf numFmtId="0" fontId="7" fillId="24" borderId="57" xfId="0" applyFont="1" applyFill="1" applyBorder="1" applyAlignment="1">
      <alignment horizontal="right"/>
    </xf>
    <xf numFmtId="0" fontId="5" fillId="24" borderId="37" xfId="0" applyFont="1" applyFill="1" applyBorder="1" applyAlignment="1">
      <alignment horizontal="right"/>
    </xf>
    <xf numFmtId="0" fontId="21" fillId="24" borderId="52" xfId="0" applyFont="1" applyFill="1" applyBorder="1" applyAlignment="1">
      <alignment horizontal="right"/>
    </xf>
    <xf numFmtId="0" fontId="21" fillId="24" borderId="49" xfId="0" applyFont="1" applyFill="1" applyBorder="1" applyAlignment="1">
      <alignment horizontal="right"/>
    </xf>
    <xf numFmtId="4" fontId="0" fillId="29" borderId="115" xfId="0" applyNumberFormat="1" applyFill="1" applyBorder="1" applyAlignment="1">
      <alignment horizontal="center"/>
    </xf>
    <xf numFmtId="4" fontId="5" fillId="29" borderId="70" xfId="0" applyNumberFormat="1" applyFont="1" applyFill="1" applyBorder="1" applyAlignment="1">
      <alignment horizontal="left"/>
    </xf>
    <xf numFmtId="10" fontId="33" fillId="29" borderId="38" xfId="0" applyNumberFormat="1" applyFont="1" applyFill="1" applyBorder="1" applyAlignment="1">
      <alignment horizontal="left"/>
    </xf>
    <xf numFmtId="4" fontId="7" fillId="24" borderId="0" xfId="0" applyNumberFormat="1" applyFont="1" applyFill="1" applyAlignment="1">
      <alignment horizontal="right"/>
    </xf>
    <xf numFmtId="0" fontId="5" fillId="24" borderId="69" xfId="0" applyFont="1" applyFill="1" applyBorder="1"/>
    <xf numFmtId="0" fontId="7" fillId="24" borderId="37" xfId="0" applyFont="1" applyFill="1" applyBorder="1" applyAlignment="1">
      <alignment horizontal="right"/>
    </xf>
    <xf numFmtId="4" fontId="0" fillId="24" borderId="70" xfId="0" applyNumberFormat="1" applyFill="1" applyBorder="1"/>
    <xf numFmtId="4" fontId="7" fillId="24" borderId="38" xfId="0" applyNumberFormat="1" applyFont="1" applyFill="1" applyBorder="1" applyAlignment="1">
      <alignment horizontal="right"/>
    </xf>
    <xf numFmtId="10" fontId="5" fillId="24" borderId="119" xfId="0" applyNumberFormat="1" applyFont="1" applyFill="1" applyBorder="1" applyAlignment="1">
      <alignment horizontal="left"/>
    </xf>
    <xf numFmtId="10" fontId="5" fillId="24" borderId="114" xfId="0" applyNumberFormat="1" applyFont="1" applyFill="1" applyBorder="1" applyAlignment="1">
      <alignment horizontal="left"/>
    </xf>
    <xf numFmtId="0" fontId="5" fillId="7" borderId="40" xfId="0" applyFont="1" applyFill="1" applyBorder="1"/>
    <xf numFmtId="0" fontId="5" fillId="7" borderId="40" xfId="0" applyFont="1" applyFill="1" applyBorder="1" applyAlignment="1">
      <alignment horizontal="left"/>
    </xf>
    <xf numFmtId="0" fontId="5" fillId="29" borderId="111" xfId="0" applyFont="1" applyFill="1" applyBorder="1" applyAlignment="1">
      <alignment horizontal="center"/>
    </xf>
    <xf numFmtId="44" fontId="0" fillId="0" borderId="0" xfId="0" applyNumberFormat="1"/>
    <xf numFmtId="42" fontId="0" fillId="0" borderId="0" xfId="0" applyNumberFormat="1"/>
    <xf numFmtId="0" fontId="17" fillId="16" borderId="0" xfId="0" applyFont="1" applyFill="1" applyAlignment="1">
      <alignment horizontal="left"/>
    </xf>
    <xf numFmtId="0" fontId="5" fillId="22" borderId="34" xfId="0" applyFont="1" applyFill="1" applyBorder="1" applyAlignment="1">
      <alignment horizontal="center"/>
    </xf>
    <xf numFmtId="0" fontId="5" fillId="22" borderId="35" xfId="0" applyFont="1" applyFill="1" applyBorder="1" applyAlignment="1">
      <alignment horizontal="center"/>
    </xf>
    <xf numFmtId="0" fontId="5" fillId="22" borderId="36" xfId="0" applyFont="1" applyFill="1" applyBorder="1" applyAlignment="1">
      <alignment horizontal="center"/>
    </xf>
    <xf numFmtId="0" fontId="0" fillId="16" borderId="70" xfId="0" applyFill="1" applyBorder="1" applyAlignment="1">
      <alignment horizontal="center"/>
    </xf>
    <xf numFmtId="0" fontId="0" fillId="16" borderId="38" xfId="0" applyFill="1" applyBorder="1" applyAlignment="1">
      <alignment horizontal="center"/>
    </xf>
    <xf numFmtId="0" fontId="46" fillId="24" borderId="34" xfId="5" applyFont="1" applyFill="1" applyBorder="1" applyAlignment="1">
      <alignment horizontal="center" vertical="center"/>
    </xf>
    <xf numFmtId="0" fontId="46" fillId="24" borderId="35" xfId="5" applyFont="1" applyFill="1" applyBorder="1" applyAlignment="1">
      <alignment horizontal="center" vertical="center"/>
    </xf>
    <xf numFmtId="0" fontId="46" fillId="24" borderId="36" xfId="5" applyFont="1" applyFill="1" applyBorder="1" applyAlignment="1">
      <alignment horizontal="center" vertical="center"/>
    </xf>
    <xf numFmtId="0" fontId="9" fillId="27" borderId="34" xfId="0" applyFont="1" applyFill="1" applyBorder="1" applyAlignment="1">
      <alignment horizontal="center"/>
    </xf>
    <xf numFmtId="0" fontId="9" fillId="27" borderId="35" xfId="0" applyFont="1" applyFill="1" applyBorder="1" applyAlignment="1">
      <alignment horizontal="center"/>
    </xf>
    <xf numFmtId="0" fontId="9" fillId="27" borderId="36" xfId="0" applyFont="1" applyFill="1" applyBorder="1" applyAlignment="1">
      <alignment horizontal="center"/>
    </xf>
    <xf numFmtId="0" fontId="46" fillId="24" borderId="34" xfId="5" applyFont="1" applyFill="1" applyBorder="1" applyAlignment="1">
      <alignment horizontal="center"/>
    </xf>
    <xf numFmtId="0" fontId="46" fillId="24" borderId="35" xfId="5" applyFont="1" applyFill="1" applyBorder="1" applyAlignment="1">
      <alignment horizontal="center"/>
    </xf>
    <xf numFmtId="0" fontId="46" fillId="24" borderId="36" xfId="5" applyFont="1" applyFill="1" applyBorder="1" applyAlignment="1">
      <alignment horizontal="center"/>
    </xf>
    <xf numFmtId="0" fontId="33" fillId="25" borderId="118" xfId="0" applyFont="1" applyFill="1" applyBorder="1" applyAlignment="1">
      <alignment horizontal="right"/>
    </xf>
    <xf numFmtId="0" fontId="33" fillId="25" borderId="92" xfId="0" applyFont="1" applyFill="1" applyBorder="1" applyAlignment="1">
      <alignment horizontal="right"/>
    </xf>
    <xf numFmtId="0" fontId="5" fillId="25" borderId="116" xfId="0" applyFont="1" applyFill="1" applyBorder="1" applyAlignment="1">
      <alignment horizontal="right"/>
    </xf>
    <xf numFmtId="0" fontId="5" fillId="25" borderId="106" xfId="0" applyFont="1" applyFill="1" applyBorder="1" applyAlignment="1">
      <alignment horizontal="right"/>
    </xf>
    <xf numFmtId="0" fontId="5" fillId="25" borderId="45" xfId="0" applyFont="1" applyFill="1" applyBorder="1" applyAlignment="1">
      <alignment horizontal="right"/>
    </xf>
    <xf numFmtId="0" fontId="5" fillId="25" borderId="95" xfId="0" applyFont="1" applyFill="1" applyBorder="1" applyAlignment="1">
      <alignment horizontal="right"/>
    </xf>
    <xf numFmtId="0" fontId="5" fillId="25" borderId="117" xfId="0" applyFont="1" applyFill="1" applyBorder="1" applyAlignment="1">
      <alignment horizontal="right"/>
    </xf>
    <xf numFmtId="0" fontId="5" fillId="25" borderId="107" xfId="0" applyFont="1" applyFill="1" applyBorder="1" applyAlignment="1">
      <alignment horizontal="right"/>
    </xf>
    <xf numFmtId="0" fontId="7" fillId="25" borderId="116" xfId="0" applyFont="1" applyFill="1" applyBorder="1" applyAlignment="1">
      <alignment horizontal="right"/>
    </xf>
    <xf numFmtId="0" fontId="7" fillId="25" borderId="106" xfId="0" applyFont="1" applyFill="1" applyBorder="1" applyAlignment="1">
      <alignment horizontal="right"/>
    </xf>
    <xf numFmtId="0" fontId="9" fillId="24" borderId="69" xfId="0" applyFont="1" applyFill="1" applyBorder="1" applyAlignment="1">
      <alignment horizontal="right"/>
    </xf>
    <xf numFmtId="0" fontId="9" fillId="24" borderId="70" xfId="0" applyFont="1" applyFill="1" applyBorder="1" applyAlignment="1">
      <alignment horizontal="right"/>
    </xf>
    <xf numFmtId="0" fontId="9" fillId="24" borderId="57" xfId="0" applyFont="1" applyFill="1" applyBorder="1" applyAlignment="1">
      <alignment horizontal="right"/>
    </xf>
    <xf numFmtId="0" fontId="9" fillId="24" borderId="0" xfId="0" applyFont="1" applyFill="1" applyAlignment="1">
      <alignment horizontal="right"/>
    </xf>
    <xf numFmtId="0" fontId="28" fillId="20" borderId="34" xfId="0" applyFont="1" applyFill="1" applyBorder="1" applyAlignment="1">
      <alignment horizontal="center"/>
    </xf>
    <xf numFmtId="0" fontId="28" fillId="20" borderId="35" xfId="0" applyFont="1" applyFill="1" applyBorder="1" applyAlignment="1">
      <alignment horizontal="center"/>
    </xf>
    <xf numFmtId="0" fontId="28" fillId="20" borderId="36" xfId="0" applyFont="1" applyFill="1" applyBorder="1" applyAlignment="1">
      <alignment horizontal="center"/>
    </xf>
    <xf numFmtId="0" fontId="54" fillId="23" borderId="34" xfId="0" applyFont="1" applyFill="1" applyBorder="1" applyAlignment="1">
      <alignment horizontal="center" vertical="center"/>
    </xf>
    <xf numFmtId="0" fontId="54" fillId="23" borderId="35" xfId="0" applyFont="1" applyFill="1" applyBorder="1" applyAlignment="1">
      <alignment horizontal="center" vertical="center"/>
    </xf>
    <xf numFmtId="0" fontId="54" fillId="23" borderId="36" xfId="0" applyFont="1" applyFill="1" applyBorder="1" applyAlignment="1">
      <alignment horizontal="center" vertical="center"/>
    </xf>
    <xf numFmtId="0" fontId="24" fillId="27" borderId="35" xfId="0" applyFont="1" applyFill="1" applyBorder="1" applyAlignment="1">
      <alignment horizontal="center"/>
    </xf>
    <xf numFmtId="0" fontId="24" fillId="27" borderId="36" xfId="0" applyFont="1" applyFill="1" applyBorder="1" applyAlignment="1">
      <alignment horizontal="center"/>
    </xf>
    <xf numFmtId="0" fontId="46" fillId="29" borderId="34" xfId="5" applyFont="1" applyFill="1" applyBorder="1" applyAlignment="1">
      <alignment horizontal="center" vertical="center"/>
    </xf>
    <xf numFmtId="0" fontId="46" fillId="29" borderId="35" xfId="5" applyFont="1" applyFill="1" applyBorder="1" applyAlignment="1">
      <alignment horizontal="center" vertical="center"/>
    </xf>
    <xf numFmtId="0" fontId="46" fillId="29" borderId="36" xfId="5" applyFont="1" applyFill="1" applyBorder="1" applyAlignment="1">
      <alignment horizontal="center" vertical="center"/>
    </xf>
    <xf numFmtId="0" fontId="46" fillId="29" borderId="69" xfId="5" applyFont="1" applyFill="1" applyBorder="1" applyAlignment="1">
      <alignment horizontal="center" vertical="center"/>
    </xf>
    <xf numFmtId="0" fontId="46" fillId="29" borderId="70" xfId="5" applyFont="1" applyFill="1" applyBorder="1" applyAlignment="1">
      <alignment horizontal="center" vertical="center"/>
    </xf>
    <xf numFmtId="0" fontId="46" fillId="29" borderId="71" xfId="5" applyFont="1" applyFill="1" applyBorder="1" applyAlignment="1">
      <alignment horizontal="center" vertical="center"/>
    </xf>
    <xf numFmtId="0" fontId="46" fillId="29" borderId="37" xfId="5" applyFont="1" applyFill="1" applyBorder="1" applyAlignment="1">
      <alignment horizontal="center" vertical="center"/>
    </xf>
    <xf numFmtId="0" fontId="46" fillId="29" borderId="38" xfId="5" applyFont="1" applyFill="1" applyBorder="1" applyAlignment="1">
      <alignment horizontal="center" vertical="center"/>
    </xf>
    <xf numFmtId="0" fontId="46" fillId="29" borderId="39" xfId="5" applyFont="1" applyFill="1" applyBorder="1" applyAlignment="1">
      <alignment horizontal="center" vertical="center"/>
    </xf>
    <xf numFmtId="0" fontId="24" fillId="27" borderId="69" xfId="0" applyFont="1" applyFill="1" applyBorder="1" applyAlignment="1">
      <alignment horizontal="center"/>
    </xf>
    <xf numFmtId="0" fontId="24" fillId="27" borderId="70" xfId="0" applyFont="1" applyFill="1" applyBorder="1" applyAlignment="1">
      <alignment horizontal="center"/>
    </xf>
    <xf numFmtId="0" fontId="24" fillId="27" borderId="71" xfId="0" applyFont="1" applyFill="1" applyBorder="1" applyAlignment="1">
      <alignment horizontal="center"/>
    </xf>
    <xf numFmtId="0" fontId="24" fillId="27" borderId="34" xfId="0" applyFont="1" applyFill="1" applyBorder="1" applyAlignment="1">
      <alignment horizontal="center"/>
    </xf>
    <xf numFmtId="0" fontId="46" fillId="29" borderId="69" xfId="5" applyFont="1" applyFill="1" applyBorder="1" applyAlignment="1">
      <alignment horizontal="center"/>
    </xf>
    <xf numFmtId="0" fontId="46" fillId="29" borderId="70" xfId="5" applyFont="1" applyFill="1" applyBorder="1" applyAlignment="1">
      <alignment horizontal="center"/>
    </xf>
    <xf numFmtId="0" fontId="46" fillId="29" borderId="71" xfId="5" applyFont="1" applyFill="1" applyBorder="1" applyAlignment="1">
      <alignment horizontal="center"/>
    </xf>
    <xf numFmtId="0" fontId="46" fillId="24" borderId="69" xfId="5" applyFont="1" applyFill="1" applyBorder="1" applyAlignment="1">
      <alignment horizontal="center"/>
    </xf>
    <xf numFmtId="0" fontId="46" fillId="24" borderId="70" xfId="5" applyFont="1" applyFill="1" applyBorder="1" applyAlignment="1">
      <alignment horizontal="center"/>
    </xf>
    <xf numFmtId="0" fontId="46" fillId="24" borderId="71" xfId="5" applyFont="1" applyFill="1" applyBorder="1" applyAlignment="1">
      <alignment horizontal="center"/>
    </xf>
    <xf numFmtId="0" fontId="9" fillId="20" borderId="34" xfId="0" applyFont="1" applyFill="1" applyBorder="1" applyAlignment="1">
      <alignment horizontal="center"/>
    </xf>
    <xf numFmtId="0" fontId="9" fillId="20" borderId="35" xfId="0" applyFont="1" applyFill="1" applyBorder="1" applyAlignment="1">
      <alignment horizontal="center"/>
    </xf>
    <xf numFmtId="0" fontId="9" fillId="20" borderId="36" xfId="0" applyFont="1" applyFill="1" applyBorder="1" applyAlignment="1">
      <alignment horizontal="center"/>
    </xf>
    <xf numFmtId="0" fontId="9" fillId="21" borderId="34" xfId="0" applyFont="1" applyFill="1" applyBorder="1" applyAlignment="1">
      <alignment horizontal="center"/>
    </xf>
    <xf numFmtId="0" fontId="24" fillId="21" borderId="35" xfId="0" applyFont="1" applyFill="1" applyBorder="1" applyAlignment="1">
      <alignment horizontal="center"/>
    </xf>
    <xf numFmtId="0" fontId="24" fillId="21" borderId="36" xfId="0" applyFont="1" applyFill="1" applyBorder="1" applyAlignment="1">
      <alignment horizontal="center"/>
    </xf>
    <xf numFmtId="0" fontId="9" fillId="19" borderId="34" xfId="0" applyFont="1" applyFill="1" applyBorder="1" applyAlignment="1">
      <alignment horizontal="center"/>
    </xf>
    <xf numFmtId="0" fontId="24" fillId="19" borderId="35" xfId="0" applyFont="1" applyFill="1" applyBorder="1" applyAlignment="1">
      <alignment horizontal="center"/>
    </xf>
    <xf numFmtId="0" fontId="24" fillId="19" borderId="36" xfId="0" applyFont="1" applyFill="1" applyBorder="1" applyAlignment="1">
      <alignment horizontal="center"/>
    </xf>
    <xf numFmtId="0" fontId="24" fillId="20" borderId="35" xfId="0" applyFont="1" applyFill="1" applyBorder="1" applyAlignment="1">
      <alignment horizontal="center"/>
    </xf>
    <xf numFmtId="0" fontId="24" fillId="20" borderId="36" xfId="0" applyFont="1" applyFill="1" applyBorder="1" applyAlignment="1">
      <alignment horizontal="center"/>
    </xf>
    <xf numFmtId="0" fontId="9" fillId="27" borderId="61" xfId="0" applyFont="1" applyFill="1" applyBorder="1" applyAlignment="1">
      <alignment horizontal="center"/>
    </xf>
    <xf numFmtId="0" fontId="24" fillId="27" borderId="62" xfId="0" applyFont="1" applyFill="1" applyBorder="1" applyAlignment="1">
      <alignment horizontal="center"/>
    </xf>
    <xf numFmtId="0" fontId="24" fillId="27" borderId="63" xfId="0" applyFont="1" applyFill="1" applyBorder="1" applyAlignment="1">
      <alignment horizontal="center"/>
    </xf>
    <xf numFmtId="0" fontId="9" fillId="26" borderId="69" xfId="0" applyFont="1" applyFill="1" applyBorder="1" applyAlignment="1">
      <alignment horizontal="center"/>
    </xf>
    <xf numFmtId="0" fontId="9" fillId="26" borderId="70" xfId="0" applyFont="1" applyFill="1" applyBorder="1" applyAlignment="1">
      <alignment horizontal="center"/>
    </xf>
    <xf numFmtId="0" fontId="9" fillId="26" borderId="71" xfId="0" applyFont="1" applyFill="1" applyBorder="1" applyAlignment="1">
      <alignment horizontal="center"/>
    </xf>
    <xf numFmtId="0" fontId="9" fillId="26" borderId="34" xfId="0" applyFont="1" applyFill="1" applyBorder="1" applyAlignment="1">
      <alignment horizontal="center"/>
    </xf>
    <xf numFmtId="0" fontId="9" fillId="26" borderId="35" xfId="0" applyFont="1" applyFill="1" applyBorder="1" applyAlignment="1">
      <alignment horizontal="center"/>
    </xf>
    <xf numFmtId="0" fontId="9" fillId="26" borderId="36" xfId="0" applyFont="1" applyFill="1" applyBorder="1" applyAlignment="1">
      <alignment horizontal="center"/>
    </xf>
    <xf numFmtId="0" fontId="9" fillId="20" borderId="69" xfId="0" applyFont="1" applyFill="1" applyBorder="1" applyAlignment="1">
      <alignment horizontal="center"/>
    </xf>
    <xf numFmtId="0" fontId="9" fillId="20" borderId="70" xfId="0" applyFont="1" applyFill="1" applyBorder="1" applyAlignment="1">
      <alignment horizontal="center"/>
    </xf>
    <xf numFmtId="0" fontId="9" fillId="20" borderId="71" xfId="0" applyFont="1" applyFill="1" applyBorder="1" applyAlignment="1">
      <alignment horizontal="center"/>
    </xf>
    <xf numFmtId="168" fontId="5" fillId="24" borderId="70" xfId="0" applyNumberFormat="1" applyFont="1" applyFill="1" applyBorder="1" applyAlignment="1">
      <alignment horizontal="left"/>
    </xf>
    <xf numFmtId="168" fontId="5" fillId="24" borderId="71" xfId="0" applyNumberFormat="1" applyFont="1" applyFill="1" applyBorder="1" applyAlignment="1">
      <alignment horizontal="left"/>
    </xf>
    <xf numFmtId="168" fontId="5" fillId="24" borderId="0" xfId="0" applyNumberFormat="1" applyFont="1" applyFill="1" applyAlignment="1">
      <alignment horizontal="left"/>
    </xf>
    <xf numFmtId="168" fontId="5" fillId="24" borderId="58" xfId="0" applyNumberFormat="1" applyFont="1" applyFill="1" applyBorder="1" applyAlignment="1">
      <alignment horizontal="left"/>
    </xf>
    <xf numFmtId="168" fontId="5" fillId="24" borderId="38" xfId="0" applyNumberFormat="1" applyFont="1" applyFill="1" applyBorder="1" applyAlignment="1">
      <alignment horizontal="left"/>
    </xf>
    <xf numFmtId="168" fontId="5" fillId="24" borderId="39" xfId="0" applyNumberFormat="1" applyFont="1" applyFill="1" applyBorder="1" applyAlignment="1">
      <alignment horizontal="left"/>
    </xf>
    <xf numFmtId="169" fontId="8" fillId="29" borderId="70" xfId="0" applyNumberFormat="1" applyFont="1" applyFill="1" applyBorder="1" applyAlignment="1">
      <alignment horizontal="left" vertical="center"/>
    </xf>
    <xf numFmtId="169" fontId="8" fillId="29" borderId="71" xfId="0" applyNumberFormat="1" applyFont="1" applyFill="1" applyBorder="1" applyAlignment="1">
      <alignment horizontal="left" vertical="center"/>
    </xf>
    <xf numFmtId="0" fontId="9" fillId="20" borderId="69" xfId="0" applyFont="1" applyFill="1" applyBorder="1" applyAlignment="1">
      <alignment horizontal="center" wrapText="1"/>
    </xf>
    <xf numFmtId="0" fontId="24" fillId="20" borderId="70" xfId="0" applyFont="1" applyFill="1" applyBorder="1" applyAlignment="1">
      <alignment horizontal="center"/>
    </xf>
    <xf numFmtId="0" fontId="24" fillId="20" borderId="71" xfId="0" applyFont="1" applyFill="1" applyBorder="1" applyAlignment="1">
      <alignment horizontal="center"/>
    </xf>
    <xf numFmtId="0" fontId="0" fillId="16" borderId="113" xfId="0" applyFill="1" applyBorder="1" applyAlignment="1">
      <alignment horizontal="center"/>
    </xf>
    <xf numFmtId="0" fontId="0" fillId="16" borderId="119" xfId="0" applyFill="1" applyBorder="1" applyAlignment="1">
      <alignment horizontal="center"/>
    </xf>
    <xf numFmtId="0" fontId="32" fillId="16" borderId="0" xfId="0" applyFont="1" applyFill="1" applyAlignment="1">
      <alignment horizontal="center"/>
    </xf>
    <xf numFmtId="0" fontId="32" fillId="16" borderId="38" xfId="0" applyFont="1" applyFill="1" applyBorder="1" applyAlignment="1">
      <alignment horizontal="center"/>
    </xf>
    <xf numFmtId="0" fontId="5" fillId="29" borderId="113" xfId="0" applyFont="1" applyFill="1" applyBorder="1" applyAlignment="1">
      <alignment horizontal="center" vertical="center"/>
    </xf>
    <xf numFmtId="0" fontId="5" fillId="29" borderId="111" xfId="0" applyFont="1" applyFill="1" applyBorder="1" applyAlignment="1">
      <alignment horizontal="center" vertical="center"/>
    </xf>
    <xf numFmtId="0" fontId="5" fillId="29" borderId="121" xfId="0" applyFont="1" applyFill="1" applyBorder="1" applyAlignment="1">
      <alignment horizontal="center" vertical="center"/>
    </xf>
    <xf numFmtId="0" fontId="5" fillId="29" borderId="122" xfId="0" applyFont="1" applyFill="1" applyBorder="1" applyAlignment="1">
      <alignment horizontal="center" vertical="center"/>
    </xf>
    <xf numFmtId="0" fontId="41" fillId="23" borderId="34" xfId="0" applyFont="1" applyFill="1" applyBorder="1" applyAlignment="1">
      <alignment horizontal="center" vertical="center"/>
    </xf>
    <xf numFmtId="0" fontId="41" fillId="23" borderId="35" xfId="0" applyFont="1" applyFill="1" applyBorder="1" applyAlignment="1">
      <alignment horizontal="center" vertical="center"/>
    </xf>
    <xf numFmtId="0" fontId="41" fillId="23" borderId="36" xfId="0" applyFont="1" applyFill="1" applyBorder="1" applyAlignment="1">
      <alignment horizontal="center" vertical="center"/>
    </xf>
    <xf numFmtId="0" fontId="11" fillId="28" borderId="34" xfId="0" applyFont="1" applyFill="1" applyBorder="1" applyAlignment="1">
      <alignment horizontal="left"/>
    </xf>
    <xf numFmtId="0" fontId="11" fillId="28" borderId="35" xfId="0" applyFont="1" applyFill="1" applyBorder="1" applyAlignment="1">
      <alignment horizontal="left"/>
    </xf>
    <xf numFmtId="0" fontId="11" fillId="28" borderId="36" xfId="0" applyFont="1" applyFill="1" applyBorder="1" applyAlignment="1">
      <alignment horizontal="left"/>
    </xf>
    <xf numFmtId="0" fontId="45" fillId="0" borderId="34" xfId="5" applyFont="1" applyBorder="1" applyAlignment="1">
      <alignment horizontal="center"/>
    </xf>
    <xf numFmtId="0" fontId="45" fillId="0" borderId="36" xfId="5" applyFont="1" applyBorder="1" applyAlignment="1">
      <alignment horizontal="center"/>
    </xf>
    <xf numFmtId="4" fontId="2" fillId="18" borderId="69" xfId="0" applyNumberFormat="1" applyFont="1" applyFill="1" applyBorder="1" applyAlignment="1">
      <alignment horizontal="center" vertical="center"/>
    </xf>
    <xf numFmtId="4" fontId="2" fillId="18" borderId="70" xfId="0" applyNumberFormat="1" applyFont="1" applyFill="1" applyBorder="1" applyAlignment="1">
      <alignment horizontal="center" vertical="center"/>
    </xf>
    <xf numFmtId="4" fontId="2" fillId="18" borderId="71" xfId="0" applyNumberFormat="1" applyFont="1" applyFill="1" applyBorder="1" applyAlignment="1">
      <alignment horizontal="center" vertical="center"/>
    </xf>
    <xf numFmtId="171" fontId="37" fillId="19" borderId="85" xfId="0" applyNumberFormat="1" applyFont="1" applyFill="1" applyBorder="1" applyAlignment="1">
      <alignment horizontal="left"/>
    </xf>
    <xf numFmtId="171" fontId="37" fillId="19" borderId="86" xfId="0" applyNumberFormat="1" applyFont="1" applyFill="1" applyBorder="1" applyAlignment="1">
      <alignment horizontal="left"/>
    </xf>
    <xf numFmtId="171" fontId="37" fillId="19" borderId="103" xfId="0" applyNumberFormat="1" applyFont="1" applyFill="1" applyBorder="1" applyAlignment="1">
      <alignment horizontal="left"/>
    </xf>
    <xf numFmtId="0" fontId="33" fillId="19" borderId="69" xfId="0" applyFont="1" applyFill="1" applyBorder="1" applyAlignment="1">
      <alignment horizontal="left" vertical="center"/>
    </xf>
    <xf numFmtId="0" fontId="33" fillId="19" borderId="70" xfId="0" applyFont="1" applyFill="1" applyBorder="1" applyAlignment="1">
      <alignment horizontal="left" vertical="center"/>
    </xf>
    <xf numFmtId="0" fontId="33" fillId="19" borderId="90" xfId="0" applyFont="1" applyFill="1" applyBorder="1" applyAlignment="1">
      <alignment horizontal="left" vertical="center"/>
    </xf>
    <xf numFmtId="0" fontId="33" fillId="19" borderId="37" xfId="0" applyFont="1" applyFill="1" applyBorder="1" applyAlignment="1">
      <alignment horizontal="left" vertical="center"/>
    </xf>
    <xf numFmtId="0" fontId="33" fillId="19" borderId="38" xfId="0" applyFont="1" applyFill="1" applyBorder="1" applyAlignment="1">
      <alignment horizontal="left" vertical="center"/>
    </xf>
    <xf numFmtId="0" fontId="33" fillId="19" borderId="93" xfId="0" applyFont="1" applyFill="1" applyBorder="1" applyAlignment="1">
      <alignment horizontal="left" vertical="center"/>
    </xf>
    <xf numFmtId="0" fontId="33" fillId="19" borderId="41" xfId="0" applyFont="1" applyFill="1" applyBorder="1" applyAlignment="1">
      <alignment horizontal="center"/>
    </xf>
    <xf numFmtId="0" fontId="33" fillId="19" borderId="91" xfId="0" applyFont="1" applyFill="1" applyBorder="1" applyAlignment="1">
      <alignment horizontal="center"/>
    </xf>
    <xf numFmtId="0" fontId="33" fillId="19" borderId="92" xfId="0" applyFont="1" applyFill="1" applyBorder="1" applyAlignment="1">
      <alignment horizontal="center"/>
    </xf>
    <xf numFmtId="173" fontId="37" fillId="19" borderId="85" xfId="0" applyNumberFormat="1" applyFont="1" applyFill="1" applyBorder="1" applyAlignment="1">
      <alignment horizontal="center"/>
    </xf>
    <xf numFmtId="173" fontId="37" fillId="19" borderId="86" xfId="0" applyNumberFormat="1" applyFont="1" applyFill="1" applyBorder="1" applyAlignment="1">
      <alignment horizontal="center"/>
    </xf>
    <xf numFmtId="173" fontId="37" fillId="19" borderId="87" xfId="0" applyNumberFormat="1" applyFont="1" applyFill="1" applyBorder="1" applyAlignment="1">
      <alignment horizontal="center"/>
    </xf>
    <xf numFmtId="174" fontId="2" fillId="21" borderId="82" xfId="0" applyNumberFormat="1" applyFont="1" applyFill="1" applyBorder="1" applyAlignment="1">
      <alignment horizontal="center" vertical="center"/>
    </xf>
    <xf numFmtId="174" fontId="2" fillId="21" borderId="88" xfId="0" applyNumberFormat="1" applyFont="1" applyFill="1" applyBorder="1" applyAlignment="1">
      <alignment horizontal="center" vertical="center"/>
    </xf>
    <xf numFmtId="174" fontId="2" fillId="21" borderId="83" xfId="0" applyNumberFormat="1" applyFont="1" applyFill="1" applyBorder="1" applyAlignment="1">
      <alignment horizontal="center" vertical="center"/>
    </xf>
    <xf numFmtId="174" fontId="2" fillId="21" borderId="89" xfId="0" applyNumberFormat="1" applyFont="1" applyFill="1" applyBorder="1" applyAlignment="1">
      <alignment horizontal="center" vertical="center"/>
    </xf>
    <xf numFmtId="0" fontId="41" fillId="23" borderId="69" xfId="0" applyFont="1" applyFill="1" applyBorder="1" applyAlignment="1">
      <alignment horizontal="center" vertical="center"/>
    </xf>
    <xf numFmtId="0" fontId="41" fillId="23" borderId="70" xfId="0" applyFont="1" applyFill="1" applyBorder="1" applyAlignment="1">
      <alignment horizontal="center" vertical="center"/>
    </xf>
    <xf numFmtId="0" fontId="41" fillId="23" borderId="37" xfId="0" applyFont="1" applyFill="1" applyBorder="1" applyAlignment="1">
      <alignment horizontal="center" vertical="center"/>
    </xf>
    <xf numFmtId="0" fontId="41" fillId="23" borderId="38" xfId="0" applyFont="1" applyFill="1" applyBorder="1" applyAlignment="1">
      <alignment horizontal="center" vertical="center"/>
    </xf>
    <xf numFmtId="4" fontId="2" fillId="18" borderId="37" xfId="0" applyNumberFormat="1" applyFont="1" applyFill="1" applyBorder="1" applyAlignment="1">
      <alignment horizontal="center" vertical="center"/>
    </xf>
    <xf numFmtId="4" fontId="2" fillId="18" borderId="38" xfId="0" applyNumberFormat="1" applyFont="1" applyFill="1" applyBorder="1" applyAlignment="1">
      <alignment horizontal="center" vertical="center"/>
    </xf>
    <xf numFmtId="4" fontId="2" fillId="18" borderId="39" xfId="0" applyNumberFormat="1" applyFont="1" applyFill="1" applyBorder="1" applyAlignment="1">
      <alignment horizontal="center" vertical="center"/>
    </xf>
    <xf numFmtId="0" fontId="37" fillId="13" borderId="57" xfId="0" applyFont="1" applyFill="1" applyBorder="1" applyAlignment="1">
      <alignment horizontal="left" vertical="center"/>
    </xf>
    <xf numFmtId="0" fontId="37" fillId="13" borderId="0" xfId="0" applyFont="1" applyFill="1" applyAlignment="1">
      <alignment horizontal="left" vertical="center"/>
    </xf>
    <xf numFmtId="0" fontId="37" fillId="13" borderId="72" xfId="0" applyFont="1" applyFill="1" applyBorder="1" applyAlignment="1">
      <alignment horizontal="left" vertical="center"/>
    </xf>
    <xf numFmtId="0" fontId="37" fillId="13" borderId="37" xfId="0" applyFont="1" applyFill="1" applyBorder="1" applyAlignment="1">
      <alignment horizontal="left" vertical="center"/>
    </xf>
    <xf numFmtId="0" fontId="37" fillId="13" borderId="38" xfId="0" applyFont="1" applyFill="1" applyBorder="1" applyAlignment="1">
      <alignment horizontal="left" vertical="center"/>
    </xf>
    <xf numFmtId="0" fontId="37" fillId="13" borderId="84" xfId="0" applyFont="1" applyFill="1" applyBorder="1" applyAlignment="1">
      <alignment horizontal="left" vertical="center"/>
    </xf>
    <xf numFmtId="174" fontId="37" fillId="19" borderId="85" xfId="0" applyNumberFormat="1" applyFont="1" applyFill="1" applyBorder="1" applyAlignment="1">
      <alignment horizontal="left"/>
    </xf>
    <xf numFmtId="174" fontId="37" fillId="19" borderId="86" xfId="0" applyNumberFormat="1" applyFont="1" applyFill="1" applyBorder="1" applyAlignment="1">
      <alignment horizontal="left"/>
    </xf>
    <xf numFmtId="174" fontId="37" fillId="19" borderId="87" xfId="0" applyNumberFormat="1" applyFont="1" applyFill="1" applyBorder="1" applyAlignment="1">
      <alignment horizontal="left"/>
    </xf>
    <xf numFmtId="0" fontId="4" fillId="21" borderId="69" xfId="0" applyFont="1" applyFill="1" applyBorder="1" applyAlignment="1">
      <alignment horizontal="left" vertical="center"/>
    </xf>
    <xf numFmtId="0" fontId="4" fillId="21" borderId="70" xfId="0" applyFont="1" applyFill="1" applyBorder="1" applyAlignment="1">
      <alignment horizontal="left" vertical="center"/>
    </xf>
    <xf numFmtId="0" fontId="4" fillId="21" borderId="81" xfId="0" applyFont="1" applyFill="1" applyBorder="1" applyAlignment="1">
      <alignment horizontal="left" vertical="center"/>
    </xf>
    <xf numFmtId="0" fontId="4" fillId="21" borderId="37" xfId="0" applyFont="1" applyFill="1" applyBorder="1" applyAlignment="1">
      <alignment horizontal="left" vertical="center"/>
    </xf>
    <xf numFmtId="0" fontId="4" fillId="21" borderId="38" xfId="0" applyFont="1" applyFill="1" applyBorder="1" applyAlignment="1">
      <alignment horizontal="left" vertical="center"/>
    </xf>
    <xf numFmtId="0" fontId="4" fillId="21" borderId="84" xfId="0" applyFont="1" applyFill="1" applyBorder="1" applyAlignment="1">
      <alignment horizontal="left" vertical="center"/>
    </xf>
    <xf numFmtId="4" fontId="2" fillId="21" borderId="82" xfId="0" applyNumberFormat="1" applyFont="1" applyFill="1" applyBorder="1" applyAlignment="1">
      <alignment horizontal="center" vertical="center"/>
    </xf>
    <xf numFmtId="4" fontId="2" fillId="21" borderId="88" xfId="0" applyNumberFormat="1" applyFont="1" applyFill="1" applyBorder="1" applyAlignment="1">
      <alignment horizontal="center" vertical="center"/>
    </xf>
    <xf numFmtId="0" fontId="0" fillId="21" borderId="82" xfId="0" applyFill="1" applyBorder="1" applyAlignment="1">
      <alignment horizontal="center" vertical="center"/>
    </xf>
    <xf numFmtId="0" fontId="0" fillId="21" borderId="88" xfId="0" applyFill="1" applyBorder="1" applyAlignment="1">
      <alignment horizontal="center" vertical="center"/>
    </xf>
    <xf numFmtId="10" fontId="0" fillId="21" borderId="82" xfId="0" applyNumberFormat="1" applyFill="1" applyBorder="1" applyAlignment="1">
      <alignment horizontal="center" vertical="center"/>
    </xf>
    <xf numFmtId="10" fontId="0" fillId="21" borderId="88" xfId="0" applyNumberFormat="1" applyFill="1" applyBorder="1" applyAlignment="1">
      <alignment horizontal="center" vertical="center"/>
    </xf>
    <xf numFmtId="0" fontId="8" fillId="5" borderId="69" xfId="0" applyFont="1" applyFill="1" applyBorder="1" applyAlignment="1">
      <alignment horizontal="center"/>
    </xf>
    <xf numFmtId="0" fontId="23" fillId="5" borderId="70" xfId="0" applyFont="1" applyFill="1" applyBorder="1" applyAlignment="1">
      <alignment horizontal="center"/>
    </xf>
    <xf numFmtId="0" fontId="23" fillId="5" borderId="71" xfId="0" applyFont="1" applyFill="1" applyBorder="1" applyAlignment="1">
      <alignment horizontal="center"/>
    </xf>
    <xf numFmtId="0" fontId="9" fillId="5" borderId="57" xfId="0" applyFont="1" applyFill="1" applyBorder="1" applyAlignment="1">
      <alignment horizontal="center"/>
    </xf>
    <xf numFmtId="0" fontId="24" fillId="5" borderId="0" xfId="0" applyFont="1" applyFill="1" applyAlignment="1">
      <alignment horizontal="center"/>
    </xf>
    <xf numFmtId="0" fontId="24" fillId="5" borderId="58" xfId="0" applyFont="1" applyFill="1" applyBorder="1" applyAlignment="1">
      <alignment horizontal="center"/>
    </xf>
    <xf numFmtId="0" fontId="9" fillId="5" borderId="69" xfId="0" applyFont="1" applyFill="1" applyBorder="1" applyAlignment="1">
      <alignment horizontal="center"/>
    </xf>
    <xf numFmtId="0" fontId="24" fillId="5" borderId="70" xfId="0" applyFont="1" applyFill="1" applyBorder="1" applyAlignment="1">
      <alignment horizontal="center"/>
    </xf>
    <xf numFmtId="0" fontId="24" fillId="5" borderId="71" xfId="0" applyFont="1" applyFill="1" applyBorder="1" applyAlignment="1">
      <alignment horizontal="center"/>
    </xf>
    <xf numFmtId="0" fontId="47" fillId="0" borderId="34" xfId="5" applyFont="1" applyBorder="1"/>
    <xf numFmtId="0" fontId="47" fillId="0" borderId="35" xfId="5" applyFont="1" applyBorder="1"/>
    <xf numFmtId="0" fontId="47" fillId="0" borderId="36" xfId="5" applyFont="1" applyBorder="1"/>
    <xf numFmtId="0" fontId="9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24" fillId="5" borderId="38" xfId="0" applyFont="1" applyFill="1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6" fillId="15" borderId="14" xfId="0" applyFont="1" applyFill="1" applyBorder="1" applyAlignment="1">
      <alignment horizontal="center"/>
    </xf>
    <xf numFmtId="0" fontId="26" fillId="15" borderId="15" xfId="0" applyFont="1" applyFill="1" applyBorder="1" applyAlignment="1">
      <alignment horizontal="center"/>
    </xf>
    <xf numFmtId="0" fontId="26" fillId="1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24" fillId="5" borderId="18" xfId="0" applyFont="1" applyFill="1" applyBorder="1" applyAlignment="1">
      <alignment horizontal="center"/>
    </xf>
    <xf numFmtId="0" fontId="43" fillId="0" borderId="34" xfId="5" applyFont="1" applyBorder="1" applyAlignment="1">
      <alignment horizontal="left"/>
    </xf>
    <xf numFmtId="0" fontId="43" fillId="0" borderId="35" xfId="5" applyFont="1" applyBorder="1" applyAlignment="1">
      <alignment horizontal="left"/>
    </xf>
    <xf numFmtId="0" fontId="43" fillId="0" borderId="36" xfId="5" applyFont="1" applyBorder="1" applyAlignment="1">
      <alignment horizontal="left"/>
    </xf>
    <xf numFmtId="0" fontId="10" fillId="15" borderId="14" xfId="0" applyFont="1" applyFill="1" applyBorder="1" applyAlignment="1">
      <alignment horizontal="center"/>
    </xf>
    <xf numFmtId="0" fontId="25" fillId="15" borderId="15" xfId="0" applyFont="1" applyFill="1" applyBorder="1" applyAlignment="1">
      <alignment horizontal="center"/>
    </xf>
    <xf numFmtId="0" fontId="25" fillId="15" borderId="16" xfId="0" applyFont="1" applyFill="1" applyBorder="1" applyAlignment="1">
      <alignment horizontal="center"/>
    </xf>
    <xf numFmtId="0" fontId="9" fillId="5" borderId="69" xfId="0" applyFont="1" applyFill="1" applyBorder="1" applyAlignment="1">
      <alignment horizontal="center" vertical="center"/>
    </xf>
    <xf numFmtId="0" fontId="24" fillId="5" borderId="70" xfId="0" applyFont="1" applyFill="1" applyBorder="1" applyAlignment="1">
      <alignment horizontal="center" vertical="center"/>
    </xf>
    <xf numFmtId="0" fontId="24" fillId="5" borderId="71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24" fillId="5" borderId="32" xfId="0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5" borderId="58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5" fillId="19" borderId="104" xfId="0" applyFont="1" applyFill="1" applyBorder="1" applyAlignment="1">
      <alignment horizontal="center"/>
    </xf>
    <xf numFmtId="0" fontId="5" fillId="19" borderId="112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2" borderId="16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12" borderId="16" xfId="0" applyFont="1" applyFill="1" applyBorder="1" applyAlignment="1">
      <alignment horizontal="center"/>
    </xf>
    <xf numFmtId="0" fontId="46" fillId="0" borderId="34" xfId="5" applyFont="1" applyBorder="1"/>
    <xf numFmtId="0" fontId="46" fillId="0" borderId="35" xfId="5" applyFont="1" applyBorder="1"/>
    <xf numFmtId="0" fontId="46" fillId="0" borderId="36" xfId="5" applyFont="1" applyBorder="1"/>
    <xf numFmtId="0" fontId="43" fillId="0" borderId="34" xfId="5" applyFont="1" applyBorder="1"/>
    <xf numFmtId="0" fontId="43" fillId="0" borderId="35" xfId="5" applyFont="1" applyBorder="1"/>
    <xf numFmtId="0" fontId="43" fillId="0" borderId="36" xfId="5" applyFont="1" applyBorder="1"/>
  </cellXfs>
  <cellStyles count="6">
    <cellStyle name="Köprü" xfId="5" builtinId="8"/>
    <cellStyle name="Normal" xfId="0" builtinId="0"/>
    <cellStyle name="Normal 2" xfId="2" xr:uid="{00000000-0005-0000-0000-000002000000}"/>
    <cellStyle name="Normal 2 2 2" xfId="3" xr:uid="{00000000-0005-0000-0000-000003000000}"/>
    <cellStyle name="Normal 3" xfId="1" xr:uid="{00000000-0005-0000-0000-000004000000}"/>
    <cellStyle name="Normal 7 7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93069362928501"/>
          <c:y val="4.8059831707574399E-2"/>
          <c:w val="0.60658046358073503"/>
          <c:h val="0.81950458056311104"/>
        </c:manualLayout>
      </c:layout>
      <c:doughnutChart>
        <c:varyColors val="1"/>
        <c:ser>
          <c:idx val="0"/>
          <c:order val="0"/>
          <c:tx>
            <c:strRef>
              <c:f>'Su Temini hizmetleri'!$A$1:$C$1</c:f>
              <c:strCache>
                <c:ptCount val="1"/>
                <c:pt idx="0">
                  <c:v>SU TEMİNİ FİNANSAL MALİYETLERİ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98000"/>
                      <a:lumMod val="114000"/>
                    </a:schemeClr>
                  </a:gs>
                  <a:gs pos="100000">
                    <a:schemeClr val="accent1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65C7-4E52-98D9-8E0F6E308A3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98000"/>
                      <a:lumMod val="114000"/>
                    </a:schemeClr>
                  </a:gs>
                  <a:gs pos="100000">
                    <a:schemeClr val="accent2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65C7-4E52-98D9-8E0F6E308A3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98000"/>
                      <a:lumMod val="114000"/>
                    </a:schemeClr>
                  </a:gs>
                  <a:gs pos="100000">
                    <a:schemeClr val="accent3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65C7-4E52-98D9-8E0F6E308A3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98000"/>
                      <a:lumMod val="114000"/>
                    </a:schemeClr>
                  </a:gs>
                  <a:gs pos="100000">
                    <a:schemeClr val="accent4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65C7-4E52-98D9-8E0F6E308A3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65C7-4E52-98D9-8E0F6E308A3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98000"/>
                      <a:lumMod val="114000"/>
                    </a:schemeClr>
                  </a:gs>
                  <a:gs pos="100000">
                    <a:schemeClr val="accent6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65C7-4E52-98D9-8E0F6E308A3F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1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65C7-4E52-98D9-8E0F6E308A3F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2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F-65C7-4E52-98D9-8E0F6E308A3F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3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11-65C7-4E52-98D9-8E0F6E308A3F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4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13-65C7-4E52-98D9-8E0F6E308A3F}"/>
              </c:ext>
            </c:extLst>
          </c:dPt>
          <c:dLbls>
            <c:dLbl>
              <c:idx val="0"/>
              <c:layout>
                <c:manualLayout>
                  <c:x val="0.278011764932515"/>
                  <c:y val="-7.9195632134030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7-4E52-98D9-8E0F6E308A3F}"/>
                </c:ext>
              </c:extLst>
            </c:dLbl>
            <c:dLbl>
              <c:idx val="1"/>
              <c:layout>
                <c:manualLayout>
                  <c:x val="0.290817439322541"/>
                  <c:y val="7.7501157480179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7-4E52-98D9-8E0F6E308A3F}"/>
                </c:ext>
              </c:extLst>
            </c:dLbl>
            <c:dLbl>
              <c:idx val="2"/>
              <c:layout>
                <c:manualLayout>
                  <c:x val="0.191871007216254"/>
                  <c:y val="0.156973501665382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C7-4E52-98D9-8E0F6E308A3F}"/>
                </c:ext>
              </c:extLst>
            </c:dLbl>
            <c:dLbl>
              <c:idx val="3"/>
              <c:layout>
                <c:manualLayout>
                  <c:x val="0.146419529531125"/>
                  <c:y val="0.155660380401371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C7-4E52-98D9-8E0F6E308A3F}"/>
                </c:ext>
              </c:extLst>
            </c:dLbl>
            <c:dLbl>
              <c:idx val="4"/>
              <c:layout>
                <c:manualLayout>
                  <c:x val="0.23909011784196299"/>
                  <c:y val="7.9195632134030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C7-4E52-98D9-8E0F6E308A3F}"/>
                </c:ext>
              </c:extLst>
            </c:dLbl>
            <c:dLbl>
              <c:idx val="5"/>
              <c:layout>
                <c:manualLayout>
                  <c:x val="-0.25411796948284759"/>
                  <c:y val="0.1021513481498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C7-4E52-98D9-8E0F6E308A3F}"/>
                </c:ext>
              </c:extLst>
            </c:dLbl>
            <c:dLbl>
              <c:idx val="6"/>
              <c:layout>
                <c:manualLayout>
                  <c:x val="-0.22415933714557698"/>
                  <c:y val="0.118401384806204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C7-4E52-98D9-8E0F6E308A3F}"/>
                </c:ext>
              </c:extLst>
            </c:dLbl>
            <c:dLbl>
              <c:idx val="7"/>
              <c:layout>
                <c:manualLayout>
                  <c:x val="-0.25959561214757498"/>
                  <c:y val="0.29946292475524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C7-4E52-98D9-8E0F6E308A3F}"/>
                </c:ext>
              </c:extLst>
            </c:dLbl>
            <c:dLbl>
              <c:idx val="8"/>
              <c:layout>
                <c:manualLayout>
                  <c:x val="-0.30512646716595099"/>
                  <c:y val="0.1502523077966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tr-T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06470462719501"/>
                      <c:h val="0.131764522395506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5C7-4E52-98D9-8E0F6E308A3F}"/>
                </c:ext>
              </c:extLst>
            </c:dLbl>
            <c:dLbl>
              <c:idx val="9"/>
              <c:layout>
                <c:manualLayout>
                  <c:x val="-0.33640524136016198"/>
                  <c:y val="-3.0497855905994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C7-4E52-98D9-8E0F6E308A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('Su Temini hizmetleri'!$A$11,'Su Temini hizmetleri'!$A$13,'Su Temini hizmetleri'!$A$16,'Su Temini hizmetleri'!$A$20,'Su Temini hizmetleri'!$A$27,'Su Temini hizmetleri'!$A$28,'Su Temini hizmetleri'!$A$30,'Su Temini hizmetleri'!$A$31,'Su Temini hizmetleri'!$A$36,'Su Temini hizmetleri'!$A$41)</c:f>
              <c:strCache>
                <c:ptCount val="10"/>
                <c:pt idx="0">
                  <c:v>(a) Enerji Maiyeti- Su Arıtma</c:v>
                </c:pt>
                <c:pt idx="1">
                  <c:v>KİMYASAL MALİYETİ</c:v>
                </c:pt>
                <c:pt idx="2">
                  <c:v>(c) Kimyasal Maliyetleri</c:v>
                </c:pt>
                <c:pt idx="3">
                  <c:v>(d) Personel Maliyeti</c:v>
                </c:pt>
                <c:pt idx="4">
                  <c:v>(e) Bakım Maliyetleri - İnşaat İşleri</c:v>
                </c:pt>
                <c:pt idx="5">
                  <c:v>(f) Bakım Maliyetleri  -  E&amp;M Ekipman</c:v>
                </c:pt>
                <c:pt idx="6">
                  <c:v>(g) Amortisman Maliyeti - İnşaat İşleri</c:v>
                </c:pt>
                <c:pt idx="7">
                  <c:v>(h) Amortisman Maliyeti  -  E&amp;M Ekipman</c:v>
                </c:pt>
                <c:pt idx="8">
                  <c:v>Genel Maliyetler (Maliyetin % si)</c:v>
                </c:pt>
                <c:pt idx="9">
                  <c:v>(K1) Genel Maliyetler</c:v>
                </c:pt>
              </c:strCache>
            </c:strRef>
          </c:cat>
          <c:val>
            <c:numRef>
              <c:f>('Su Temini hizmetleri'!$C$11,'Su Temini hizmetleri'!$C$12,'Su Temini hizmetleri'!$C$16,'Su Temini hizmetleri'!$C$20,'Su Temini hizmetleri'!$C$27,'Su Temini hizmetleri'!$C$28,'Su Temini hizmetleri'!$C$30,'Su Temini hizmetleri'!$C$31,'Su Temini hizmetleri'!$C$35,'Su Temini hizmetleri'!$C$41)</c:f>
              <c:numCache>
                <c:formatCode>_(* #,##0_);_(* \(#,##0\);_(* "-"_);_(@_)</c:formatCode>
                <c:ptCount val="10"/>
                <c:pt idx="0">
                  <c:v>73119.605463</c:v>
                </c:pt>
                <c:pt idx="1">
                  <c:v>189763.32778729367</c:v>
                </c:pt>
                <c:pt idx="2">
                  <c:v>141293.92360000001</c:v>
                </c:pt>
                <c:pt idx="3">
                  <c:v>393600</c:v>
                </c:pt>
                <c:pt idx="4">
                  <c:v>247568.2</c:v>
                </c:pt>
                <c:pt idx="5">
                  <c:v>60766.74</c:v>
                </c:pt>
                <c:pt idx="6">
                  <c:v>618920.5</c:v>
                </c:pt>
                <c:pt idx="7">
                  <c:v>135037.20000000001</c:v>
                </c:pt>
                <c:pt idx="8">
                  <c:v>100000</c:v>
                </c:pt>
                <c:pt idx="9">
                  <c:v>267816.72410901956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5C7-4E52-98D9-8E0F6E308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98000"/>
                      <a:lumMod val="114000"/>
                    </a:schemeClr>
                  </a:gs>
                  <a:gs pos="100000">
                    <a:schemeClr val="accent1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4C36-409F-A8C6-0EF9F637ACC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98000"/>
                      <a:lumMod val="114000"/>
                    </a:schemeClr>
                  </a:gs>
                  <a:gs pos="100000">
                    <a:schemeClr val="accent2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4C36-409F-A8C6-0EF9F637ACC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98000"/>
                      <a:lumMod val="114000"/>
                    </a:schemeClr>
                  </a:gs>
                  <a:gs pos="100000">
                    <a:schemeClr val="accent3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4C36-409F-A8C6-0EF9F637ACC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98000"/>
                      <a:lumMod val="114000"/>
                    </a:schemeClr>
                  </a:gs>
                  <a:gs pos="100000">
                    <a:schemeClr val="accent4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4C36-409F-A8C6-0EF9F637ACC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tint val="98000"/>
                      <a:lumMod val="114000"/>
                    </a:schemeClr>
                  </a:gs>
                  <a:gs pos="100000">
                    <a:schemeClr val="accent5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4C36-409F-A8C6-0EF9F637ACC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tint val="98000"/>
                      <a:lumMod val="114000"/>
                    </a:schemeClr>
                  </a:gs>
                  <a:gs pos="100000">
                    <a:schemeClr val="accent6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4C36-409F-A8C6-0EF9F637ACC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1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4C36-409F-A8C6-0EF9F637ACC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2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F-4C36-409F-A8C6-0EF9F637ACC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3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11-4C36-409F-A8C6-0EF9F637ACC0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98000"/>
                      <a:lumMod val="114000"/>
                    </a:schemeClr>
                  </a:gs>
                  <a:gs pos="100000">
                    <a:schemeClr val="accent4">
                      <a:lumMod val="60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13-4C36-409F-A8C6-0EF9F637ACC0}"/>
              </c:ext>
            </c:extLst>
          </c:dPt>
          <c:dLbls>
            <c:dLbl>
              <c:idx val="0"/>
              <c:layout>
                <c:manualLayout>
                  <c:x val="0.19100697783026599"/>
                  <c:y val="-9.00946129619181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6-409F-A8C6-0EF9F637ACC0}"/>
                </c:ext>
              </c:extLst>
            </c:dLbl>
            <c:dLbl>
              <c:idx val="1"/>
              <c:layout>
                <c:manualLayout>
                  <c:x val="0.30563959233294002"/>
                  <c:y val="-9.53390639298542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6-409F-A8C6-0EF9F637ACC0}"/>
                </c:ext>
              </c:extLst>
            </c:dLbl>
            <c:dLbl>
              <c:idx val="2"/>
              <c:layout>
                <c:manualLayout>
                  <c:x val="0.26039377137931402"/>
                  <c:y val="9.399733336698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6-409F-A8C6-0EF9F637ACC0}"/>
                </c:ext>
              </c:extLst>
            </c:dLbl>
            <c:dLbl>
              <c:idx val="3"/>
              <c:layout>
                <c:manualLayout>
                  <c:x val="0.200578218458034"/>
                  <c:y val="0.12170248795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6-409F-A8C6-0EF9F637ACC0}"/>
                </c:ext>
              </c:extLst>
            </c:dLbl>
            <c:dLbl>
              <c:idx val="4"/>
              <c:layout>
                <c:manualLayout>
                  <c:x val="0.184324804445538"/>
                  <c:y val="3.9575520140682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6-409F-A8C6-0EF9F637ACC0}"/>
                </c:ext>
              </c:extLst>
            </c:dLbl>
            <c:dLbl>
              <c:idx val="5"/>
              <c:layout>
                <c:manualLayout>
                  <c:x val="0.19036828327828401"/>
                  <c:y val="7.9158920883151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6-409F-A8C6-0EF9F637ACC0}"/>
                </c:ext>
              </c:extLst>
            </c:dLbl>
            <c:dLbl>
              <c:idx val="6"/>
              <c:layout>
                <c:manualLayout>
                  <c:x val="-0.19792258023377199"/>
                  <c:y val="0.113790948769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6-409F-A8C6-0EF9F637ACC0}"/>
                </c:ext>
              </c:extLst>
            </c:dLbl>
            <c:dLbl>
              <c:idx val="7"/>
              <c:layout>
                <c:manualLayout>
                  <c:x val="-0.243281833813253"/>
                  <c:y val="0.1132917024458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6-409F-A8C6-0EF9F637ACC0}"/>
                </c:ext>
              </c:extLst>
            </c:dLbl>
            <c:dLbl>
              <c:idx val="8"/>
              <c:layout>
                <c:manualLayout>
                  <c:x val="-0.30512127669771499"/>
                  <c:y val="-2.3750235866291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6-409F-A8C6-0EF9F637ACC0}"/>
                </c:ext>
              </c:extLst>
            </c:dLbl>
            <c:dLbl>
              <c:idx val="9"/>
              <c:layout>
                <c:manualLayout>
                  <c:x val="-0.13913298474879099"/>
                  <c:y val="-8.2242583202954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6-409F-A8C6-0EF9F637A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('Atıksu Hizmetleri'!$A$15,'Atıksu Hizmetleri'!$A$16,'Atıksu Hizmetleri'!$A$19,'Atıksu Hizmetleri'!$A$23,'Atıksu Hizmetleri'!$A$30,'Atıksu Hizmetleri'!$A$31,'Atıksu Hizmetleri'!$A$33,'Atıksu Hizmetleri'!$A$34,'Atıksu Hizmetleri'!$A$38,'Atıksu Hizmetleri'!$A$44)</c:f>
              <c:strCache>
                <c:ptCount val="10"/>
                <c:pt idx="0">
                  <c:v>(a) Enerji Maliyeti - Atıksu Arıtma</c:v>
                </c:pt>
                <c:pt idx="1">
                  <c:v>(b) Enerji Maliyeti - Pompaj</c:v>
                </c:pt>
                <c:pt idx="2">
                  <c:v>(c) Kimyasal Maliyeti</c:v>
                </c:pt>
                <c:pt idx="3">
                  <c:v>(d) Personel Maliyeti</c:v>
                </c:pt>
                <c:pt idx="4">
                  <c:v>(g) Bakım Maliyeti - İnşaat İşleri</c:v>
                </c:pt>
                <c:pt idx="5">
                  <c:v>(h) Bakım Maliyeti  -  E&amp;M Ekipman</c:v>
                </c:pt>
                <c:pt idx="6">
                  <c:v>(g) Amortisman Maliyeti   - İnşaat İşleri </c:v>
                </c:pt>
                <c:pt idx="7">
                  <c:v>(h) Amortisman Maliyeti   -  E&amp;M Ekipman</c:v>
                </c:pt>
                <c:pt idx="8">
                  <c:v>(J) Finansal Maliyet (Borç Faizi)</c:v>
                </c:pt>
                <c:pt idx="9">
                  <c:v>(K1) Genel Maliyetler</c:v>
                </c:pt>
              </c:strCache>
            </c:strRef>
          </c:cat>
          <c:val>
            <c:numRef>
              <c:f>('Atıksu Hizmetleri'!$C$15,'Atıksu Hizmetleri'!$C$16,'Atıksu Hizmetleri'!$C$19,'Atıksu Hizmetleri'!$C$23,'Atıksu Hizmetleri'!$C$30,'Atıksu Hizmetleri'!$C$31,'Atıksu Hizmetleri'!$C$33,'Atıksu Hizmetleri'!$C$34,'Atıksu Hizmetleri'!$C$38,'Atıksu Hizmetleri'!$C$44)</c:f>
              <c:numCache>
                <c:formatCode>_(* #,##0_);_(* \(#,##0\);_(* "-"_);_(@_)</c:formatCode>
                <c:ptCount val="10"/>
                <c:pt idx="0">
                  <c:v>216304.04176076801</c:v>
                </c:pt>
                <c:pt idx="1">
                  <c:v>5262.7696239676116</c:v>
                </c:pt>
                <c:pt idx="2">
                  <c:v>124903.82846240001</c:v>
                </c:pt>
                <c:pt idx="3">
                  <c:v>246000</c:v>
                </c:pt>
                <c:pt idx="4">
                  <c:v>337593</c:v>
                </c:pt>
                <c:pt idx="5">
                  <c:v>84398.25</c:v>
                </c:pt>
                <c:pt idx="6">
                  <c:v>843982.5</c:v>
                </c:pt>
                <c:pt idx="7">
                  <c:v>187551.66666666666</c:v>
                </c:pt>
                <c:pt idx="8">
                  <c:v>300000</c:v>
                </c:pt>
                <c:pt idx="9">
                  <c:v>245626.03965164712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C36-409F-A8C6-0EF9F637A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58401137357830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doughnutChart>
        <c:varyColors val="1"/>
        <c:ser>
          <c:idx val="0"/>
          <c:order val="0"/>
          <c:tx>
            <c:v>Sabit ve Değişken Finansal Maliyetler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76C-4020-9104-982A3FD053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76C-4020-9104-982A3FD05311}"/>
              </c:ext>
            </c:extLst>
          </c:dPt>
          <c:dLbls>
            <c:dLbl>
              <c:idx val="0"/>
              <c:layout>
                <c:manualLayout>
                  <c:x val="0.15555555555555556"/>
                  <c:y val="-5.55555555555555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C-4020-9104-982A3FD05311}"/>
                </c:ext>
              </c:extLst>
            </c:dLbl>
            <c:dLbl>
              <c:idx val="1"/>
              <c:layout>
                <c:manualLayout>
                  <c:x val="-0.13888888888888892"/>
                  <c:y val="3.240740740740740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C-4020-9104-982A3FD05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('Sabit ve Değiş. Fins. Maliyet.'!$A$1:$B$1,'Sabit ve Değiş. Fins. Maliyet.'!$A$7:$B$7)</c:f>
              <c:strCache>
                <c:ptCount val="2"/>
                <c:pt idx="0">
                  <c:v>Değişken Finansal Maliyetler</c:v>
                </c:pt>
                <c:pt idx="1">
                  <c:v>Sabit Finansal Maliyetler</c:v>
                </c:pt>
              </c:strCache>
            </c:strRef>
          </c:cat>
          <c:val>
            <c:numRef>
              <c:f>('Sabit ve Değiş. Fins. Maliyet.'!$B$5,'Sabit ve Değiş. Fins. Maliyet.'!$B$12)</c:f>
              <c:numCache>
                <c:formatCode>_-[$₺-41F]* #,##0_-;\-[$₺-41F]* #,##0_-;_-[$₺-41F]* "-"_-;_-@_-</c:formatCode>
                <c:ptCount val="2"/>
                <c:pt idx="0">
                  <c:v>9969457.424629217</c:v>
                </c:pt>
                <c:pt idx="1">
                  <c:v>35266774.745082609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C-4020-9104-982A3FD0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pieChart>
        <c:varyColors val="1"/>
        <c:ser>
          <c:idx val="0"/>
          <c:order val="0"/>
          <c:tx>
            <c:v>Finansal Maliyetler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127-46D6-92B1-1C250EC6A05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127-46D6-92B1-1C250EC6A05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127-46D6-92B1-1C250EC6A05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127-46D6-92B1-1C250EC6A05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E127-46D6-92B1-1C250EC6A05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E127-46D6-92B1-1C250EC6A05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E127-46D6-92B1-1C250EC6A051}"/>
              </c:ext>
            </c:extLst>
          </c:dPt>
          <c:dLbls>
            <c:dLbl>
              <c:idx val="0"/>
              <c:layout>
                <c:manualLayout>
                  <c:x val="0.1801590113735782"/>
                  <c:y val="-6.041848935549722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7-46D6-92B1-1C250EC6A051}"/>
                </c:ext>
              </c:extLst>
            </c:dLbl>
            <c:dLbl>
              <c:idx val="1"/>
              <c:layout>
                <c:manualLayout>
                  <c:x val="7.1783464566929037E-2"/>
                  <c:y val="1.8226888305628463E-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7-46D6-92B1-1C250EC6A051}"/>
                </c:ext>
              </c:extLst>
            </c:dLbl>
            <c:dLbl>
              <c:idx val="2"/>
              <c:layout>
                <c:manualLayout>
                  <c:x val="3.7432633420822502E-2"/>
                  <c:y val="9.6927311169437147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27-46D6-92B1-1C250EC6A051}"/>
                </c:ext>
              </c:extLst>
            </c:dLbl>
            <c:dLbl>
              <c:idx val="3"/>
              <c:layout>
                <c:manualLayout>
                  <c:x val="0.14490988626421697"/>
                  <c:y val="-0.1034725867599884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7-46D6-92B1-1C250EC6A051}"/>
                </c:ext>
              </c:extLst>
            </c:dLbl>
            <c:dLbl>
              <c:idx val="4"/>
              <c:layout>
                <c:manualLayout>
                  <c:x val="-6.2622375328083985E-2"/>
                  <c:y val="3.69149168853893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27-46D6-92B1-1C250EC6A051}"/>
                </c:ext>
              </c:extLst>
            </c:dLbl>
            <c:dLbl>
              <c:idx val="5"/>
              <c:layout>
                <c:manualLayout>
                  <c:x val="-0.11234930008748907"/>
                  <c:y val="7.924321959755030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27-46D6-92B1-1C250EC6A051}"/>
                </c:ext>
              </c:extLst>
            </c:dLbl>
            <c:dLbl>
              <c:idx val="6"/>
              <c:layout>
                <c:manualLayout>
                  <c:x val="-0.20142650918635172"/>
                  <c:y val="-4.298374161563137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27-46D6-92B1-1C250EC6A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('Sabit ve Değiş. Fins. Maliyet.'!$A$2:$A$4,'Sabit ve Değiş. Fins. Maliyet.'!$A$8:$A$11)</c:f>
              <c:strCache>
                <c:ptCount val="7"/>
                <c:pt idx="0">
                  <c:v>Enerji Maliyeti</c:v>
                </c:pt>
                <c:pt idx="1">
                  <c:v>Kimyasal Maliyeti</c:v>
                </c:pt>
                <c:pt idx="2">
                  <c:v>Hizmet Alımları</c:v>
                </c:pt>
                <c:pt idx="3">
                  <c:v>Amostisman Maliyetleri</c:v>
                </c:pt>
                <c:pt idx="4">
                  <c:v>Personel Maliyeti</c:v>
                </c:pt>
                <c:pt idx="5">
                  <c:v>Bakım Maliyeti</c:v>
                </c:pt>
                <c:pt idx="6">
                  <c:v>Faiz Borçları</c:v>
                </c:pt>
              </c:strCache>
            </c:strRef>
          </c:cat>
          <c:val>
            <c:numRef>
              <c:f>('Sabit ve Değiş. Fins. Maliyet.'!$B$2:$B$4,'Sabit ve Değiş. Fins. Maliyet.'!$B$8:$B$11)</c:f>
              <c:numCache>
                <c:formatCode>_-[$₺-41F]* #,##0_-;\-[$₺-41F]* #,##0_-;_-[$₺-41F]* "-"_-;_-@_-</c:formatCode>
                <c:ptCount val="7"/>
                <c:pt idx="0">
                  <c:v>6428501.2884394247</c:v>
                </c:pt>
                <c:pt idx="1">
                  <c:v>2384947.4820252266</c:v>
                </c:pt>
                <c:pt idx="2">
                  <c:v>1156008.6541645653</c:v>
                </c:pt>
                <c:pt idx="3">
                  <c:v>17664968.395988323</c:v>
                </c:pt>
                <c:pt idx="4">
                  <c:v>7397593.1101770476</c:v>
                </c:pt>
                <c:pt idx="5">
                  <c:v>6791169.6279705754</c:v>
                </c:pt>
                <c:pt idx="6">
                  <c:v>3413043.6109466595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7-46D6-92B1-1C250EC6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743153980752399"/>
          <c:y val="6.4814814814814797E-2"/>
          <c:w val="0.34180358705161901"/>
          <c:h val="0.56967264508603099"/>
        </c:manualLayout>
      </c:layout>
      <c:doughnutChart>
        <c:varyColors val="1"/>
        <c:ser>
          <c:idx val="0"/>
          <c:order val="0"/>
          <c:tx>
            <c:strRef>
              <c:f>'Tam Maliyet'!$A$2:$A$5</c:f>
              <c:strCache>
                <c:ptCount val="4"/>
                <c:pt idx="0">
                  <c:v>Su Temini Finansal Maliyetler</c:v>
                </c:pt>
                <c:pt idx="1">
                  <c:v>Atıksu Hizmetleri Finansal Maliyetler</c:v>
                </c:pt>
                <c:pt idx="2">
                  <c:v>Kaynak Maliyeti</c:v>
                </c:pt>
                <c:pt idx="3">
                  <c:v>Çevresel Maliyetler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98000"/>
                      <a:lumMod val="114000"/>
                    </a:schemeClr>
                  </a:gs>
                  <a:gs pos="100000">
                    <a:schemeClr val="accent1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B473-4D11-A5C3-E6DAEDD58CA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98000"/>
                      <a:lumMod val="114000"/>
                    </a:schemeClr>
                  </a:gs>
                  <a:gs pos="100000">
                    <a:schemeClr val="accent2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B473-4D11-A5C3-E6DAEDD58CA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tint val="98000"/>
                      <a:lumMod val="114000"/>
                    </a:schemeClr>
                  </a:gs>
                  <a:gs pos="100000">
                    <a:schemeClr val="accent3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B473-4D11-A5C3-E6DAEDD58CA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98000"/>
                      <a:lumMod val="114000"/>
                    </a:schemeClr>
                  </a:gs>
                  <a:gs pos="100000">
                    <a:schemeClr val="accent4"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B473-4D11-A5C3-E6DAEDD58CA6}"/>
              </c:ext>
            </c:extLst>
          </c:dPt>
          <c:dLbls>
            <c:dLbl>
              <c:idx val="0"/>
              <c:layout>
                <c:manualLayout>
                  <c:x val="0.17485968470472699"/>
                  <c:y val="-4.432470698140310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73-4D11-A5C3-E6DAEDD58CA6}"/>
                </c:ext>
              </c:extLst>
            </c:dLbl>
            <c:dLbl>
              <c:idx val="1"/>
              <c:layout>
                <c:manualLayout>
                  <c:x val="9.9393926042686903E-2"/>
                  <c:y val="0.19946118141631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73-4D11-A5C3-E6DAEDD58CA6}"/>
                </c:ext>
              </c:extLst>
            </c:dLbl>
            <c:dLbl>
              <c:idx val="2"/>
              <c:layout>
                <c:manualLayout>
                  <c:x val="-0.178540941224827"/>
                  <c:y val="8.126196279923909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73-4D11-A5C3-E6DAEDD58CA6}"/>
                </c:ext>
              </c:extLst>
            </c:dLbl>
            <c:dLbl>
              <c:idx val="3"/>
              <c:layout>
                <c:manualLayout>
                  <c:x val="-0.17301905644467699"/>
                  <c:y val="-4.063098139961950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73-4D11-A5C3-E6DAEDD58C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'Tam Maliyet'!$A$2:$A$5</c:f>
              <c:strCache>
                <c:ptCount val="4"/>
                <c:pt idx="0">
                  <c:v>Su Temini Finansal Maliyetler</c:v>
                </c:pt>
                <c:pt idx="1">
                  <c:v>Atıksu Hizmetleri Finansal Maliyetler</c:v>
                </c:pt>
                <c:pt idx="2">
                  <c:v>Kaynak Maliyeti</c:v>
                </c:pt>
                <c:pt idx="3">
                  <c:v>Çevresel Maliyetler</c:v>
                </c:pt>
              </c:strCache>
            </c:strRef>
          </c:cat>
          <c:val>
            <c:numRef>
              <c:f>'Tam Maliyet'!$D$2:$D$5</c:f>
              <c:numCache>
                <c:formatCode>0%</c:formatCode>
                <c:ptCount val="4"/>
                <c:pt idx="0">
                  <c:v>0.35802161087419843</c:v>
                </c:pt>
                <c:pt idx="1">
                  <c:v>0.40940458701188337</c:v>
                </c:pt>
                <c:pt idx="2">
                  <c:v>7.8248449470887757E-2</c:v>
                </c:pt>
                <c:pt idx="3">
                  <c:v>0.15432535264303038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73-4D11-A5C3-E6DAEDD58CA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cap="all" baseline="0">
                <a:effectLst/>
              </a:rPr>
              <a:t>Tam Maliyet-Ödeyebilirlik-Ödeme İstekliliği-Seçilen Tarife</a:t>
            </a:r>
            <a:r>
              <a:rPr lang="en-US" sz="1200" b="1" i="0" u="sng" cap="all" baseline="0">
                <a:effectLst/>
              </a:rPr>
              <a:t>-Nihai Tarife</a:t>
            </a:r>
            <a:endParaRPr lang="tr-TR" sz="1200">
              <a:effectLst/>
            </a:endParaRPr>
          </a:p>
        </c:rich>
      </c:tx>
      <c:layout>
        <c:manualLayout>
          <c:xMode val="edge"/>
          <c:yMode val="edge"/>
          <c:x val="0.109886377507789"/>
          <c:y val="2.513464991023340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Sayfa2!$A$4</c:f>
              <c:strCache>
                <c:ptCount val="1"/>
                <c:pt idx="0">
                  <c:v>Tam Maliyet(Su Fiyatı)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Sayfa2!$B$3:$F$3</c:f>
              <c:strCache>
                <c:ptCount val="5"/>
                <c:pt idx="0">
                  <c:v>Tam Maliyet(Su fiyatı)</c:v>
                </c:pt>
                <c:pt idx="1">
                  <c:v>Ödeyebilirlik (&lt;%3)</c:v>
                </c:pt>
                <c:pt idx="2">
                  <c:v>Ödeme İstekliliği</c:v>
                </c:pt>
                <c:pt idx="3">
                  <c:v>Seçilen Tarife</c:v>
                </c:pt>
                <c:pt idx="4">
                  <c:v>Nihai Su Tarifesi (Sübvanse Edilmiş)</c:v>
                </c:pt>
              </c:strCache>
            </c:strRef>
          </c:cat>
          <c:val>
            <c:numRef>
              <c:f>Sayfa2!$B$4:$F$4</c:f>
              <c:numCache>
                <c:formatCode>_("₺"* #,##0.00_);_("₺"* \(#,##0.00\);_("₺"* "-"??_);_(@_)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582-998F-84F4C98BC8FF}"/>
            </c:ext>
          </c:extLst>
        </c:ser>
        <c:ser>
          <c:idx val="1"/>
          <c:order val="1"/>
          <c:tx>
            <c:strRef>
              <c:f>Sayfa2!$A$5</c:f>
              <c:strCache>
                <c:ptCount val="1"/>
                <c:pt idx="0">
                  <c:v>Ortalama Gelire Sahip Hane Halkı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3.0270275423754101E-2"/>
                  <c:y val="-1.077199281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8-4582-998F-84F4C98BC8FF}"/>
                </c:ext>
              </c:extLst>
            </c:dLbl>
            <c:dLbl>
              <c:idx val="3"/>
              <c:layout>
                <c:manualLayout>
                  <c:x val="-2.5945950363217798E-2"/>
                  <c:y val="-4.308797127468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8-4582-998F-84F4C98BC8FF}"/>
                </c:ext>
              </c:extLst>
            </c:dLbl>
            <c:dLbl>
              <c:idx val="4"/>
              <c:layout>
                <c:manualLayout>
                  <c:x val="-1.08108126513407E-2"/>
                  <c:y val="-6.822262118491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8-4582-998F-84F4C98BC8FF}"/>
                </c:ext>
              </c:extLst>
            </c:dLbl>
            <c:dLbl>
              <c:idx val="5"/>
              <c:layout>
                <c:manualLayout>
                  <c:x val="-2.16216253026815E-2"/>
                  <c:y val="-4.6678635547576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8-4582-998F-84F4C98BC8FF}"/>
                </c:ext>
              </c:extLst>
            </c:dLbl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Sayfa2!$B$3:$F$3</c:f>
              <c:strCache>
                <c:ptCount val="5"/>
                <c:pt idx="0">
                  <c:v>Tam Maliyet(Su fiyatı)</c:v>
                </c:pt>
                <c:pt idx="1">
                  <c:v>Ödeyebilirlik (&lt;%3)</c:v>
                </c:pt>
                <c:pt idx="2">
                  <c:v>Ödeme İstekliliği</c:v>
                </c:pt>
                <c:pt idx="3">
                  <c:v>Seçilen Tarife</c:v>
                </c:pt>
                <c:pt idx="4">
                  <c:v>Nihai Su Tarifesi (Sübvanse Edilmiş)</c:v>
                </c:pt>
              </c:strCache>
            </c:strRef>
          </c:cat>
          <c:val>
            <c:numRef>
              <c:f>Sayfa2!$B$5:$F$5</c:f>
              <c:numCache>
                <c:formatCode>_("₺"* #,##0.00_);_("₺"* \(#,##0.00\);_("₺"* "-"??_);_(@_)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68-4582-998F-84F4C98BC8FF}"/>
            </c:ext>
          </c:extLst>
        </c:ser>
        <c:ser>
          <c:idx val="2"/>
          <c:order val="2"/>
          <c:tx>
            <c:strRef>
              <c:f>Sayfa2!$A$6</c:f>
              <c:strCache>
                <c:ptCount val="1"/>
                <c:pt idx="0">
                  <c:v>Düşük Gelire Sahip Hane Halkı  Ödeyebilirlik 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5.5555555555555497E-2"/>
                  <c:y val="-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68-4582-998F-84F4C98BC8FF}"/>
                </c:ext>
              </c:extLst>
            </c:dLbl>
            <c:dLbl>
              <c:idx val="2"/>
              <c:layout>
                <c:manualLayout>
                  <c:x val="3.0270275423754E-2"/>
                  <c:y val="-5.026929982046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8-4582-998F-84F4C98BC8FF}"/>
                </c:ext>
              </c:extLst>
            </c:dLbl>
            <c:dLbl>
              <c:idx val="3"/>
              <c:layout>
                <c:manualLayout>
                  <c:x val="2.1621625302681399E-2"/>
                  <c:y val="-5.3859964093357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8-4582-998F-84F4C98BC8FF}"/>
                </c:ext>
              </c:extLst>
            </c:dLbl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Sayfa2!$B$3:$F$3</c:f>
              <c:strCache>
                <c:ptCount val="5"/>
                <c:pt idx="0">
                  <c:v>Tam Maliyet(Su fiyatı)</c:v>
                </c:pt>
                <c:pt idx="1">
                  <c:v>Ödeyebilirlik (&lt;%3)</c:v>
                </c:pt>
                <c:pt idx="2">
                  <c:v>Ödeme İstekliliği</c:v>
                </c:pt>
                <c:pt idx="3">
                  <c:v>Seçilen Tarife</c:v>
                </c:pt>
                <c:pt idx="4">
                  <c:v>Nihai Su Tarifesi (Sübvanse Edilmiş)</c:v>
                </c:pt>
              </c:strCache>
            </c:strRef>
          </c:cat>
          <c:val>
            <c:numRef>
              <c:f>Sayfa2!$B$6:$F$6</c:f>
              <c:numCache>
                <c:formatCode>_("₺"* #,##0.00_);_("₺"* \(#,##0.00\);_("₺"* "-"??_);_(@_)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68-4582-998F-84F4C98BC8FF}"/>
            </c:ext>
          </c:extLst>
        </c:ser>
        <c:ser>
          <c:idx val="3"/>
          <c:order val="3"/>
          <c:tx>
            <c:strRef>
              <c:f>Sayfa2!$A$7</c:f>
              <c:strCache>
                <c:ptCount val="1"/>
                <c:pt idx="0">
                  <c:v>Diğer Aboneler</c:v>
                </c:pt>
              </c:strCache>
            </c:strRef>
          </c:tx>
          <c:spPr>
            <a:solidFill>
              <a:schemeClr val="accent2">
                <a:lumMod val="60000"/>
                <a:alpha val="88000"/>
              </a:schemeClr>
            </a:solidFill>
            <a:ln>
              <a:solidFill>
                <a:schemeClr val="accent2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60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lumMod val="60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Sayfa2!$B$3:$F$3</c:f>
              <c:strCache>
                <c:ptCount val="5"/>
                <c:pt idx="0">
                  <c:v>Tam Maliyet(Su fiyatı)</c:v>
                </c:pt>
                <c:pt idx="1">
                  <c:v>Ödeyebilirlik (&lt;%3)</c:v>
                </c:pt>
                <c:pt idx="2">
                  <c:v>Ödeme İstekliliği</c:v>
                </c:pt>
                <c:pt idx="3">
                  <c:v>Seçilen Tarife</c:v>
                </c:pt>
                <c:pt idx="4">
                  <c:v>Nihai Su Tarifesi (Sübvanse Edilmiş)</c:v>
                </c:pt>
              </c:strCache>
            </c:strRef>
          </c:cat>
          <c:val>
            <c:numRef>
              <c:f>Sayfa2!$B$7:$F$7</c:f>
              <c:numCache>
                <c:formatCode>_("₺"* #,##0.00_);_("₺"* \(#,##0.00\);_("₺"* "-"??_);_(@_)</c:formatCode>
                <c:ptCount val="5"/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68-4582-998F-84F4C98BC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771980704"/>
        <c:axId val="1771983424"/>
        <c:axId val="0"/>
      </c:bar3DChart>
      <c:catAx>
        <c:axId val="17719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771983424"/>
        <c:crosses val="autoZero"/>
        <c:auto val="1"/>
        <c:lblAlgn val="ctr"/>
        <c:lblOffset val="100"/>
        <c:noMultiLvlLbl val="0"/>
      </c:catAx>
      <c:valAx>
        <c:axId val="1771983424"/>
        <c:scaling>
          <c:orientation val="minMax"/>
        </c:scaling>
        <c:delete val="1"/>
        <c:axPos val="l"/>
        <c:numFmt formatCode="_(&quot;₺&quot;* #,##0.00_);_(&quot;₺&quot;* \(#,##0.00\);_(&quot;₺&quot;* &quot;-&quot;??_);_(@_)" sourceLinked="1"/>
        <c:majorTickMark val="out"/>
        <c:minorTickMark val="none"/>
        <c:tickLblPos val="nextTo"/>
        <c:crossAx val="17719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NİHAİ  SU TARİFELERİ KADEMELERİ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Sayfa2!$J$79</c:f>
              <c:strCache>
                <c:ptCount val="1"/>
                <c:pt idx="0">
                  <c:v>Toplam Nihai Tarife(1.Kademe)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Sayfa2!$K$78:$Q$78</c:f>
              <c:strCache>
                <c:ptCount val="7"/>
                <c:pt idx="2">
                  <c:v>Düşük Gelirli Haneler Nihai Tarife</c:v>
                </c:pt>
                <c:pt idx="4">
                  <c:v>Ortalama Gelirli Haneler Nihai Tarife</c:v>
                </c:pt>
                <c:pt idx="6">
                  <c:v>Diğer Aboneler Nihai Tarife</c:v>
                </c:pt>
              </c:strCache>
            </c:strRef>
          </c:cat>
          <c:val>
            <c:numRef>
              <c:f>Sayfa2!$K$79:$Q$79</c:f>
            </c:numRef>
          </c:val>
          <c:extLst>
            <c:ext xmlns:c16="http://schemas.microsoft.com/office/drawing/2014/chart" uri="{C3380CC4-5D6E-409C-BE32-E72D297353CC}">
              <c16:uniqueId val="{00000000-2B99-4BB1-8DA5-8A5EC8B9841E}"/>
            </c:ext>
          </c:extLst>
        </c:ser>
        <c:ser>
          <c:idx val="1"/>
          <c:order val="1"/>
          <c:tx>
            <c:strRef>
              <c:f>Sayfa2!$J$80</c:f>
              <c:strCache>
                <c:ptCount val="1"/>
                <c:pt idx="0">
                  <c:v>1. Kademe (10 m3 kullanım)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Sayfa2!$K$78:$Q$78</c:f>
              <c:strCache>
                <c:ptCount val="7"/>
                <c:pt idx="2">
                  <c:v>Düşük Gelirli Haneler Nihai Tarife</c:v>
                </c:pt>
                <c:pt idx="4">
                  <c:v>Ortalama Gelirli Haneler Nihai Tarife</c:v>
                </c:pt>
                <c:pt idx="6">
                  <c:v>Diğer Aboneler Nihai Tarife</c:v>
                </c:pt>
              </c:strCache>
            </c:strRef>
          </c:cat>
          <c:val>
            <c:numRef>
              <c:f>Sayfa2!$K$80:$Q$80</c:f>
              <c:numCache>
                <c:formatCode>_("₺"* #,##0.00_);_("₺"* \(#,##0.00\);_("₺"* "-"??_);_(@_)</c:formatCode>
                <c:ptCount val="7"/>
                <c:pt idx="2">
                  <c:v>0.53925913922738111</c:v>
                </c:pt>
                <c:pt idx="3">
                  <c:v>0.30402509132496713</c:v>
                </c:pt>
                <c:pt idx="4">
                  <c:v>0.82532284638897835</c:v>
                </c:pt>
                <c:pt idx="5">
                  <c:v>0.46731235299495133</c:v>
                </c:pt>
                <c:pt idx="6">
                  <c:v>2.0759467393093942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9-4BB1-8DA5-8A5EC8B9841E}"/>
            </c:ext>
          </c:extLst>
        </c:ser>
        <c:ser>
          <c:idx val="2"/>
          <c:order val="2"/>
          <c:tx>
            <c:strRef>
              <c:f>Sayfa2!$J$81</c:f>
              <c:strCache>
                <c:ptCount val="1"/>
                <c:pt idx="0">
                  <c:v>2. Kademe  (&gt;10 m3 kullanım)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Sayfa2!$K$78:$Q$78</c:f>
              <c:strCache>
                <c:ptCount val="7"/>
                <c:pt idx="2">
                  <c:v>Düşük Gelirli Haneler Nihai Tarife</c:v>
                </c:pt>
                <c:pt idx="4">
                  <c:v>Ortalama Gelirli Haneler Nihai Tarife</c:v>
                </c:pt>
                <c:pt idx="6">
                  <c:v>Diğer Aboneler Nihai Tarife</c:v>
                </c:pt>
              </c:strCache>
            </c:strRef>
          </c:cat>
          <c:val>
            <c:numRef>
              <c:f>Sayfa2!$K$81:$Q$81</c:f>
              <c:numCache>
                <c:formatCode>_("₺"* #,##0.00_);_("₺"* \(#,##0.00\);_("₺"* "-"??_);_(@_)</c:formatCode>
                <c:ptCount val="7"/>
                <c:pt idx="2">
                  <c:v>0.98349903855058063</c:v>
                </c:pt>
                <c:pt idx="3">
                  <c:v>0.5574011761047416</c:v>
                </c:pt>
                <c:pt idx="4">
                  <c:v>1.1633776754597092</c:v>
                </c:pt>
                <c:pt idx="5">
                  <c:v>0.65711809602901128</c:v>
                </c:pt>
                <c:pt idx="6">
                  <c:v>2.2860828675504106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9-4BB1-8DA5-8A5EC8B9841E}"/>
            </c:ext>
          </c:extLst>
        </c:ser>
        <c:ser>
          <c:idx val="3"/>
          <c:order val="3"/>
          <c:tx>
            <c:strRef>
              <c:f>Sayfa2!$J$82</c:f>
              <c:strCache>
                <c:ptCount val="1"/>
                <c:pt idx="0">
                  <c:v>3.Kademe (&gt;20 m3 kullanım)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Sayfa2!$K$78:$Q$78</c:f>
              <c:strCache>
                <c:ptCount val="7"/>
                <c:pt idx="2">
                  <c:v>Düşük Gelirli Haneler Nihai Tarife</c:v>
                </c:pt>
                <c:pt idx="4">
                  <c:v>Ortalama Gelirli Haneler Nihai Tarife</c:v>
                </c:pt>
                <c:pt idx="6">
                  <c:v>Diğer Aboneler Nihai Tarife</c:v>
                </c:pt>
              </c:strCache>
            </c:strRef>
          </c:cat>
          <c:val>
            <c:numRef>
              <c:f>Sayfa2!$K$82:$Q$82</c:f>
              <c:numCache>
                <c:formatCode>_("₺"* #,##0.00_);_("₺"* \(#,##0.00\);_("₺"* "-"??_);_(@_)</c:formatCode>
                <c:ptCount val="7"/>
                <c:pt idx="2">
                  <c:v>1.181911736963279</c:v>
                </c:pt>
                <c:pt idx="3">
                  <c:v>0.66973785667698105</c:v>
                </c:pt>
                <c:pt idx="4">
                  <c:v>1.3942955834429243</c:v>
                </c:pt>
                <c:pt idx="5">
                  <c:v>0.78796033615222916</c:v>
                </c:pt>
                <c:pt idx="6">
                  <c:v>2.5166493822589864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9-4BB1-8DA5-8A5EC8B984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771978528"/>
        <c:axId val="1771981248"/>
        <c:axId val="0"/>
      </c:bar3DChart>
      <c:catAx>
        <c:axId val="177197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771981248"/>
        <c:crosses val="autoZero"/>
        <c:auto val="1"/>
        <c:lblAlgn val="ctr"/>
        <c:lblOffset val="100"/>
        <c:noMultiLvlLbl val="0"/>
      </c:catAx>
      <c:valAx>
        <c:axId val="1771981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7197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r-TR"/>
              <a:t>KADEMELİ TARİFELER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Sayfa2!$L$3:$L$4</c:f>
              <c:strCache>
                <c:ptCount val="2"/>
                <c:pt idx="1">
                  <c:v>Tam Maliyet (Su Fiyatı)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Sayfa2!$K$5:$K$9</c:f>
              <c:strCache>
                <c:ptCount val="5"/>
                <c:pt idx="0">
                  <c:v>Tam Maliyet(Su Fiyatı)</c:v>
                </c:pt>
                <c:pt idx="1">
                  <c:v>Toplam Nihai Tarife(1.Kademe)</c:v>
                </c:pt>
                <c:pt idx="2">
                  <c:v>1. Kademe (10 m3 kullanım)</c:v>
                </c:pt>
                <c:pt idx="3">
                  <c:v>2. Kademe  (&gt;10 m3 kullanım)</c:v>
                </c:pt>
                <c:pt idx="4">
                  <c:v>3.Kademe (&gt;20 m3 kullanım)</c:v>
                </c:pt>
              </c:strCache>
            </c:strRef>
          </c:cat>
          <c:val>
            <c:numRef>
              <c:f>Sayfa2!$L$5:$L$9</c:f>
              <c:numCache>
                <c:formatCode>General</c:formatCode>
                <c:ptCount val="5"/>
                <c:pt idx="0" formatCode="_(&quot;₺&quot;* #,##0.00_);_(&quot;₺&quot;* \(#,##0.00\);_(&quot;₺&quot;* &quot;-&quot;??_);_(@_)">
                  <c:v>9.5848544612891828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7-45BE-B2EE-485BCC60177D}"/>
            </c:ext>
          </c:extLst>
        </c:ser>
        <c:ser>
          <c:idx val="1"/>
          <c:order val="1"/>
          <c:tx>
            <c:strRef>
              <c:f>Sayfa2!$M$3:$M$4</c:f>
              <c:strCache>
                <c:ptCount val="2"/>
                <c:pt idx="1">
                  <c:v>Düşük Gelirli Haneler Nihai Tarife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Sayfa2!$K$5:$K$9</c:f>
              <c:strCache>
                <c:ptCount val="5"/>
                <c:pt idx="0">
                  <c:v>Tam Maliyet(Su Fiyatı)</c:v>
                </c:pt>
                <c:pt idx="1">
                  <c:v>Toplam Nihai Tarife(1.Kademe)</c:v>
                </c:pt>
                <c:pt idx="2">
                  <c:v>1. Kademe (10 m3 kullanım)</c:v>
                </c:pt>
                <c:pt idx="3">
                  <c:v>2. Kademe  (&gt;10 m3 kullanım)</c:v>
                </c:pt>
                <c:pt idx="4">
                  <c:v>3.Kademe (&gt;20 m3 kullanım)</c:v>
                </c:pt>
              </c:strCache>
            </c:strRef>
          </c:cat>
          <c:val>
            <c:numRef>
              <c:f>Sayfa2!$M$5:$M$9</c:f>
              <c:numCache>
                <c:formatCode>_("₺"* #,##0.00_);_("₺"* \(#,##0.00\);_("₺"* "-"??_);_(@_)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7-45BE-B2EE-485BCC60177D}"/>
            </c:ext>
          </c:extLst>
        </c:ser>
        <c:ser>
          <c:idx val="2"/>
          <c:order val="2"/>
          <c:tx>
            <c:strRef>
              <c:f>Sayfa2!$N$3:$N$4</c:f>
              <c:strCache>
                <c:ptCount val="2"/>
                <c:pt idx="1">
                  <c:v>Ortalama Gelirli Haneler Nihai Tarife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Sayfa2!$K$5:$K$9</c:f>
              <c:strCache>
                <c:ptCount val="5"/>
                <c:pt idx="0">
                  <c:v>Tam Maliyet(Su Fiyatı)</c:v>
                </c:pt>
                <c:pt idx="1">
                  <c:v>Toplam Nihai Tarife(1.Kademe)</c:v>
                </c:pt>
                <c:pt idx="2">
                  <c:v>1. Kademe (10 m3 kullanım)</c:v>
                </c:pt>
                <c:pt idx="3">
                  <c:v>2. Kademe  (&gt;10 m3 kullanım)</c:v>
                </c:pt>
                <c:pt idx="4">
                  <c:v>3.Kademe (&gt;20 m3 kullanım)</c:v>
                </c:pt>
              </c:strCache>
            </c:strRef>
          </c:cat>
          <c:val>
            <c:numRef>
              <c:f>Sayfa2!$N$5:$N$9</c:f>
              <c:numCache>
                <c:formatCode>_("₺"* #,##0.00_);_("₺"* \(#,##0.00\);_("₺"* "-"??_);_(@_)</c:formatCode>
                <c:ptCount val="5"/>
                <c:pt idx="1">
                  <c:v>0.82532284638897879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7-45BE-B2EE-485BCC60177D}"/>
            </c:ext>
          </c:extLst>
        </c:ser>
        <c:ser>
          <c:idx val="3"/>
          <c:order val="3"/>
          <c:tx>
            <c:strRef>
              <c:f>Sayfa2!$O$3:$O$4</c:f>
              <c:strCache>
                <c:ptCount val="2"/>
                <c:pt idx="1">
                  <c:v>Diğer Aboneler Nihai Tarife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Sayfa2!$K$5:$K$9</c:f>
              <c:strCache>
                <c:ptCount val="5"/>
                <c:pt idx="0">
                  <c:v>Tam Maliyet(Su Fiyatı)</c:v>
                </c:pt>
                <c:pt idx="1">
                  <c:v>Toplam Nihai Tarife(1.Kademe)</c:v>
                </c:pt>
                <c:pt idx="2">
                  <c:v>1. Kademe (10 m3 kullanım)</c:v>
                </c:pt>
                <c:pt idx="3">
                  <c:v>2. Kademe  (&gt;10 m3 kullanım)</c:v>
                </c:pt>
                <c:pt idx="4">
                  <c:v>3.Kademe (&gt;20 m3 kullanım)</c:v>
                </c:pt>
              </c:strCache>
            </c:strRef>
          </c:cat>
          <c:val>
            <c:numRef>
              <c:f>Sayfa2!$O$5:$O$9</c:f>
              <c:numCache>
                <c:formatCode>_("₺"* #,##0.00_);_("₺"* \(#,##0.00\);_("₺"* "-"??_);_(@_)</c:formatCode>
                <c:ptCount val="5"/>
                <c:pt idx="1">
                  <c:v>2.0759467393093938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7-45BE-B2EE-485BCC60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37948592"/>
        <c:axId val="1537953488"/>
      </c:barChart>
      <c:catAx>
        <c:axId val="153794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7953488"/>
        <c:crosses val="autoZero"/>
        <c:auto val="1"/>
        <c:lblAlgn val="ctr"/>
        <c:lblOffset val="100"/>
        <c:noMultiLvlLbl val="0"/>
      </c:catAx>
      <c:valAx>
        <c:axId val="1537953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₺&quot;* #,##0.00_);_(&quot;₺&quot;* \(#,##0.00\);_(&quot;₺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79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Sayfa2!$K$34</c:f>
              <c:strCache>
                <c:ptCount val="1"/>
                <c:pt idx="0">
                  <c:v>Gelir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Sayfa2!$L$34:$Q$34</c:f>
              <c:numCache>
                <c:formatCode>_("₺"* #,##0.00_);_("₺"* \(#,##0.00\);_("₺"*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212-8441-682BEC3F2CE6}"/>
            </c:ext>
          </c:extLst>
        </c:ser>
        <c:ser>
          <c:idx val="1"/>
          <c:order val="1"/>
          <c:tx>
            <c:strRef>
              <c:f>Sayfa2!$K$35</c:f>
              <c:strCache>
                <c:ptCount val="1"/>
                <c:pt idx="0">
                  <c:v>Gider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Sayfa2!$L$35:$Q$35</c:f>
              <c:numCache>
                <c:formatCode>_("₺"* #,##0_);_("₺"* \(#,##0\);_("₺"* "-"_);_(@_)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_(&quot;₺&quot;* #,##0.00_);_(&quot;₺&quot;* \(#,##0.00\);_(&quot;₺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212-8441-682BEC3F2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7949680"/>
        <c:axId val="1537943696"/>
        <c:axId val="0"/>
      </c:bar3DChart>
      <c:catAx>
        <c:axId val="153794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7943696"/>
        <c:crosses val="autoZero"/>
        <c:auto val="1"/>
        <c:lblAlgn val="ctr"/>
        <c:lblOffset val="100"/>
        <c:noMultiLvlLbl val="0"/>
      </c:catAx>
      <c:valAx>
        <c:axId val="153794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₺&quot;* #,##0.00_);_(&quot;₺&quot;* \(#,##0.00\);_(&quot;₺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53794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51955</xdr:rowOff>
    </xdr:from>
    <xdr:to>
      <xdr:col>1</xdr:col>
      <xdr:colOff>16971818</xdr:colOff>
      <xdr:row>50</xdr:row>
      <xdr:rowOff>101907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197" r="2841"/>
        <a:stretch/>
      </xdr:blipFill>
      <xdr:spPr>
        <a:xfrm>
          <a:off x="0" y="5715000"/>
          <a:ext cx="17720310" cy="7671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104588</xdr:colOff>
      <xdr:row>2</xdr:row>
      <xdr:rowOff>14941</xdr:rowOff>
    </xdr:from>
    <xdr:to>
      <xdr:col>9</xdr:col>
      <xdr:colOff>275166</xdr:colOff>
      <xdr:row>8</xdr:row>
      <xdr:rowOff>18142</xdr:rowOff>
    </xdr:to>
    <xdr:sp macro="" textlink="">
      <xdr:nvSpPr>
        <xdr:cNvPr id="5" name="Dikdört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688171" y="978024"/>
          <a:ext cx="3165662" cy="923951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800" b="1">
              <a:solidFill>
                <a:schemeClr val="tx1"/>
              </a:solidFill>
            </a:rPr>
            <a:t>"Veri girişi yapınız" yazan kutuları</a:t>
          </a:r>
          <a:r>
            <a:rPr lang="tr-TR" sz="1800" b="1" baseline="0">
              <a:solidFill>
                <a:schemeClr val="tx1"/>
              </a:solidFill>
            </a:rPr>
            <a:t> doldurunuz. </a:t>
          </a:r>
          <a:endParaRPr lang="tr-T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1608666</xdr:colOff>
      <xdr:row>49</xdr:row>
      <xdr:rowOff>152399</xdr:rowOff>
    </xdr:from>
    <xdr:to>
      <xdr:col>2</xdr:col>
      <xdr:colOff>2235200</xdr:colOff>
      <xdr:row>50</xdr:row>
      <xdr:rowOff>186267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28366" y="8801099"/>
          <a:ext cx="4234" cy="351368"/>
        </a:xfrm>
        <a:prstGeom prst="rect">
          <a:avLst/>
        </a:prstGeom>
        <a:solidFill>
          <a:srgbClr val="E9943A"/>
        </a:solidFill>
      </xdr:spPr>
      <xdr:txBody>
        <a:bodyPr vertOverflow="clip" horzOverflow="clip" wrap="square" rtlCol="0" anchor="t"/>
        <a:lstStyle/>
        <a:p>
          <a:pPr lvl="0" algn="l"/>
          <a:endParaRPr>
            <a:solidFill>
              <a:srgbClr val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87586</xdr:colOff>
      <xdr:row>46</xdr:row>
      <xdr:rowOff>58392</xdr:rowOff>
    </xdr:from>
    <xdr:to>
      <xdr:col>3</xdr:col>
      <xdr:colOff>56619</xdr:colOff>
      <xdr:row>76</xdr:row>
      <xdr:rowOff>83416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27641</xdr:rowOff>
    </xdr:from>
    <xdr:to>
      <xdr:col>3</xdr:col>
      <xdr:colOff>14940</xdr:colOff>
      <xdr:row>89</xdr:row>
      <xdr:rowOff>103690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28575</xdr:rowOff>
    </xdr:from>
    <xdr:to>
      <xdr:col>8</xdr:col>
      <xdr:colOff>571500</xdr:colOff>
      <xdr:row>16</xdr:row>
      <xdr:rowOff>28575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16</xdr:row>
      <xdr:rowOff>155575</xdr:rowOff>
    </xdr:from>
    <xdr:to>
      <xdr:col>8</xdr:col>
      <xdr:colOff>581025</xdr:colOff>
      <xdr:row>33</xdr:row>
      <xdr:rowOff>28575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69350</xdr:rowOff>
    </xdr:from>
    <xdr:to>
      <xdr:col>3</xdr:col>
      <xdr:colOff>7471</xdr:colOff>
      <xdr:row>32</xdr:row>
      <xdr:rowOff>56201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7</xdr:row>
      <xdr:rowOff>107950</xdr:rowOff>
    </xdr:from>
    <xdr:to>
      <xdr:col>3</xdr:col>
      <xdr:colOff>1066800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1485900</xdr:colOff>
      <xdr:row>85</xdr:row>
      <xdr:rowOff>3175</xdr:rowOff>
    </xdr:from>
    <xdr:to>
      <xdr:col>14</xdr:col>
      <xdr:colOff>1924050</xdr:colOff>
      <xdr:row>102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800100</xdr:colOff>
      <xdr:row>13</xdr:row>
      <xdr:rowOff>19050</xdr:rowOff>
    </xdr:from>
    <xdr:to>
      <xdr:col>12</xdr:col>
      <xdr:colOff>1352550</xdr:colOff>
      <xdr:row>29</xdr:row>
      <xdr:rowOff>19050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811893</xdr:colOff>
      <xdr:row>40</xdr:row>
      <xdr:rowOff>116114</xdr:rowOff>
    </xdr:from>
    <xdr:to>
      <xdr:col>15</xdr:col>
      <xdr:colOff>95250</xdr:colOff>
      <xdr:row>57</xdr:row>
      <xdr:rowOff>83457</xdr:rowOff>
    </xdr:to>
    <xdr:graphicFrame macro="">
      <xdr:nvGraphicFramePr>
        <xdr:cNvPr id="11" name="Grafik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B3"/>
  <sheetViews>
    <sheetView showGridLines="0" tabSelected="1" topLeftCell="A12" zoomScale="85" zoomScaleNormal="85" workbookViewId="0">
      <selection activeCell="A26" sqref="A1:XFD26"/>
    </sheetView>
  </sheetViews>
  <sheetFormatPr defaultColWidth="8.5546875" defaultRowHeight="13.2" x14ac:dyDescent="0.25"/>
  <cols>
    <col min="1" max="1" width="10.88671875" style="68" customWidth="1"/>
    <col min="2" max="2" width="255.44140625" style="68" bestFit="1" customWidth="1"/>
    <col min="3" max="16384" width="8.5546875" style="68"/>
  </cols>
  <sheetData>
    <row r="2" spans="1:2" x14ac:dyDescent="0.25">
      <c r="A2" s="138" t="s">
        <v>89</v>
      </c>
      <c r="B2" s="139">
        <v>8.5</v>
      </c>
    </row>
    <row r="3" spans="1:2" ht="23.4" x14ac:dyDescent="0.4">
      <c r="B3" s="48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94"/>
  <sheetViews>
    <sheetView topLeftCell="A7" zoomScale="115" zoomScaleNormal="115" zoomScalePageLayoutView="115" workbookViewId="0">
      <selection activeCell="G7" sqref="G7"/>
    </sheetView>
  </sheetViews>
  <sheetFormatPr defaultColWidth="8.88671875" defaultRowHeight="13.2" x14ac:dyDescent="0.25"/>
  <cols>
    <col min="1" max="1" width="70.109375" style="3" customWidth="1"/>
    <col min="2" max="2" width="19.88671875" style="3" customWidth="1"/>
    <col min="3" max="3" width="21.44140625" style="3" customWidth="1"/>
    <col min="4" max="5" width="8.88671875" style="3" customWidth="1"/>
    <col min="6" max="40" width="8.88671875" style="68" customWidth="1"/>
    <col min="41" max="255" width="8.88671875" customWidth="1"/>
  </cols>
  <sheetData>
    <row r="1" spans="1:5" ht="20.399999999999999" x14ac:dyDescent="0.35">
      <c r="A1" s="258" t="s">
        <v>187</v>
      </c>
      <c r="B1" s="259" t="s">
        <v>188</v>
      </c>
      <c r="C1" s="260" t="s">
        <v>189</v>
      </c>
    </row>
    <row r="2" spans="1:5" ht="15" x14ac:dyDescent="0.25">
      <c r="A2" s="261" t="s">
        <v>192</v>
      </c>
      <c r="B2" s="69" t="s">
        <v>126</v>
      </c>
      <c r="C2" s="70">
        <f>'Su Temini hizmetleri'!C44*(1+D8)</f>
        <v>3.4315850342255012</v>
      </c>
      <c r="D2" s="5">
        <f>C2/C6</f>
        <v>0.35802161087419843</v>
      </c>
      <c r="E2" s="202" t="s">
        <v>197</v>
      </c>
    </row>
    <row r="3" spans="1:5" ht="15" x14ac:dyDescent="0.25">
      <c r="A3" s="261" t="s">
        <v>193</v>
      </c>
      <c r="B3" s="69" t="s">
        <v>126</v>
      </c>
      <c r="C3" s="71">
        <f>'Atıksu Hizmetleri'!C47*(1+D8)</f>
        <v>3.9240833822931065</v>
      </c>
      <c r="D3" s="5">
        <f>C3/C6</f>
        <v>0.40940458701188337</v>
      </c>
      <c r="E3" s="202" t="s">
        <v>197</v>
      </c>
    </row>
    <row r="4" spans="1:5" ht="15" x14ac:dyDescent="0.25">
      <c r="A4" s="261" t="s">
        <v>73</v>
      </c>
      <c r="B4" s="69" t="s">
        <v>126</v>
      </c>
      <c r="C4" s="70">
        <f>'Kaynak Maliyeti'!C13</f>
        <v>0.74999999999999989</v>
      </c>
      <c r="D4" s="5">
        <f>C4/C6</f>
        <v>7.8248449470887757E-2</v>
      </c>
    </row>
    <row r="5" spans="1:5" ht="15" x14ac:dyDescent="0.25">
      <c r="A5" s="261" t="s">
        <v>194</v>
      </c>
      <c r="B5" s="69" t="s">
        <v>126</v>
      </c>
      <c r="C5" s="71">
        <f>'Çevresel Maliyet'!C10</f>
        <v>1.4791860447705765</v>
      </c>
      <c r="D5" s="5">
        <f>C5/C6</f>
        <v>0.15432535264303038</v>
      </c>
    </row>
    <row r="6" spans="1:5" ht="15" x14ac:dyDescent="0.25">
      <c r="A6" s="262" t="s">
        <v>190</v>
      </c>
      <c r="B6" s="72" t="s">
        <v>126</v>
      </c>
      <c r="C6" s="73">
        <f>SUM(C2:C5)</f>
        <v>9.5848544612891846</v>
      </c>
    </row>
    <row r="7" spans="1:5" ht="23.4" x14ac:dyDescent="0.4">
      <c r="A7" s="15" t="s">
        <v>190</v>
      </c>
      <c r="B7" s="16" t="s">
        <v>126</v>
      </c>
      <c r="C7" s="17">
        <f>(C9+C10)</f>
        <v>9.5848544612891828</v>
      </c>
      <c r="D7" s="263" t="s">
        <v>197</v>
      </c>
    </row>
    <row r="8" spans="1:5" ht="15" x14ac:dyDescent="0.25">
      <c r="A8" s="74" t="s">
        <v>191</v>
      </c>
      <c r="B8" s="75" t="s">
        <v>126</v>
      </c>
      <c r="C8" s="76">
        <f>'Su Temini hizmetleri'!C44*D8+'Atıksu Hizmetleri'!C47*D8</f>
        <v>0.54486432714952648</v>
      </c>
      <c r="D8" s="5">
        <v>0.08</v>
      </c>
    </row>
    <row r="9" spans="1:5" ht="15" x14ac:dyDescent="0.25">
      <c r="A9" s="74" t="s">
        <v>195</v>
      </c>
      <c r="B9" s="77" t="s">
        <v>126</v>
      </c>
      <c r="C9" s="78">
        <f>C2+C4</f>
        <v>4.1815850342255008</v>
      </c>
      <c r="D9" s="5">
        <f>C9/C7</f>
        <v>0.43627006034508625</v>
      </c>
      <c r="E9" s="3">
        <v>0.43382312991591299</v>
      </c>
    </row>
    <row r="10" spans="1:5" ht="15" x14ac:dyDescent="0.25">
      <c r="A10" s="79" t="s">
        <v>196</v>
      </c>
      <c r="B10" s="80" t="s">
        <v>126</v>
      </c>
      <c r="C10" s="81">
        <f>C3+C5</f>
        <v>5.403269427063683</v>
      </c>
      <c r="D10" s="5">
        <f>C10/C7</f>
        <v>0.56372993965491391</v>
      </c>
      <c r="E10" s="3">
        <v>0.56617687008408701</v>
      </c>
    </row>
    <row r="34" spans="1:3" ht="13.8" thickBot="1" x14ac:dyDescent="0.3"/>
    <row r="35" spans="1:3" ht="24" thickBot="1" x14ac:dyDescent="0.45">
      <c r="A35" s="694" t="s">
        <v>134</v>
      </c>
      <c r="B35" s="695"/>
      <c r="C35" s="696"/>
    </row>
    <row r="94" spans="1:1" x14ac:dyDescent="0.25">
      <c r="A94" s="3" t="e">
        <f>'Tam Maliyet'!D9:D10</f>
        <v>#VALUE!</v>
      </c>
    </row>
  </sheetData>
  <mergeCells count="1">
    <mergeCell ref="A35:C35"/>
  </mergeCells>
  <hyperlinks>
    <hyperlink ref="A35:C35" location="' Veri Girişi ve Sonuç Tablosu'!A51" display="Veri giriş sayfasına dönmek için tıklayınız.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82"/>
  <sheetViews>
    <sheetView topLeftCell="K27" zoomScale="70" zoomScaleNormal="70" zoomScalePageLayoutView="70" workbookViewId="0">
      <selection activeCell="Q49" sqref="Q49"/>
    </sheetView>
  </sheetViews>
  <sheetFormatPr defaultColWidth="8.88671875" defaultRowHeight="13.2" x14ac:dyDescent="0.25"/>
  <cols>
    <col min="1" max="1" width="21.88671875" customWidth="1"/>
    <col min="2" max="3" width="20.109375" customWidth="1"/>
    <col min="4" max="4" width="17.44140625" customWidth="1"/>
    <col min="5" max="5" width="14" customWidth="1"/>
    <col min="6" max="6" width="13" customWidth="1"/>
    <col min="7" max="7" width="14.44140625" customWidth="1"/>
    <col min="9" max="9" width="21" customWidth="1"/>
    <col min="10" max="12" width="30.109375" customWidth="1"/>
    <col min="13" max="13" width="29.109375" customWidth="1"/>
    <col min="14" max="14" width="33.109375" bestFit="1" customWidth="1"/>
    <col min="15" max="15" width="42.44140625" bestFit="1" customWidth="1"/>
    <col min="16" max="16" width="38.109375" bestFit="1" customWidth="1"/>
    <col min="17" max="17" width="24.44140625" customWidth="1"/>
    <col min="18" max="18" width="27.5546875" customWidth="1"/>
    <col min="19" max="19" width="29.44140625" customWidth="1"/>
    <col min="20" max="20" width="15" customWidth="1"/>
    <col min="21" max="21" width="33.44140625" customWidth="1"/>
    <col min="22" max="22" width="14.5546875" customWidth="1"/>
    <col min="23" max="23" width="24.44140625" customWidth="1"/>
    <col min="24" max="24" width="14.5546875" customWidth="1"/>
  </cols>
  <sheetData>
    <row r="1" spans="1:24" x14ac:dyDescent="0.25">
      <c r="D1" s="25"/>
    </row>
    <row r="2" spans="1:24" ht="12.75" customHeight="1" x14ac:dyDescent="0.25"/>
    <row r="3" spans="1:24" ht="12.9" customHeight="1" x14ac:dyDescent="0.25">
      <c r="A3" s="26"/>
      <c r="B3" s="415" t="s">
        <v>315</v>
      </c>
      <c r="C3" s="415" t="s">
        <v>316</v>
      </c>
      <c r="D3" s="415" t="s">
        <v>183</v>
      </c>
      <c r="E3" s="415" t="s">
        <v>186</v>
      </c>
      <c r="F3" s="415" t="s">
        <v>323</v>
      </c>
      <c r="K3" s="26"/>
      <c r="L3" s="26"/>
      <c r="M3" s="26"/>
      <c r="N3" s="26"/>
      <c r="O3" s="26"/>
    </row>
    <row r="4" spans="1:24" x14ac:dyDescent="0.25">
      <c r="A4" s="416" t="s">
        <v>317</v>
      </c>
      <c r="B4" s="141" t="e">
        <f>#REF!</f>
        <v>#REF!</v>
      </c>
      <c r="C4" s="27"/>
      <c r="D4" s="27"/>
      <c r="E4" s="27"/>
      <c r="F4" s="27"/>
      <c r="I4" t="s">
        <v>135</v>
      </c>
      <c r="K4" s="9" t="s">
        <v>75</v>
      </c>
      <c r="L4" s="416" t="s">
        <v>248</v>
      </c>
      <c r="M4" s="9" t="s">
        <v>80</v>
      </c>
      <c r="N4" s="9" t="s">
        <v>81</v>
      </c>
      <c r="O4" s="9" t="s">
        <v>82</v>
      </c>
      <c r="R4" t="s">
        <v>75</v>
      </c>
      <c r="S4" t="s">
        <v>80</v>
      </c>
      <c r="U4" t="s">
        <v>81</v>
      </c>
      <c r="W4" t="s">
        <v>82</v>
      </c>
    </row>
    <row r="5" spans="1:24" x14ac:dyDescent="0.25">
      <c r="A5" s="416" t="s">
        <v>181</v>
      </c>
      <c r="B5" s="27"/>
      <c r="C5" s="141" t="e">
        <f>#REF!</f>
        <v>#REF!</v>
      </c>
      <c r="D5" s="141" t="e">
        <f>#REF!</f>
        <v>#REF!</v>
      </c>
      <c r="E5" s="141" t="e">
        <f>#REF!</f>
        <v>#REF!</v>
      </c>
      <c r="F5" s="141" t="e">
        <f>#REF!</f>
        <v>#REF!</v>
      </c>
      <c r="I5" t="s">
        <v>136</v>
      </c>
      <c r="K5" s="211" t="s">
        <v>317</v>
      </c>
      <c r="L5" s="28">
        <f>'Tam Maliyet'!C7</f>
        <v>9.5848544612891828</v>
      </c>
      <c r="R5" t="s">
        <v>83</v>
      </c>
      <c r="S5" t="s">
        <v>84</v>
      </c>
      <c r="T5" t="s">
        <v>85</v>
      </c>
      <c r="U5" t="s">
        <v>84</v>
      </c>
      <c r="V5" t="s">
        <v>86</v>
      </c>
      <c r="W5" t="s">
        <v>84</v>
      </c>
      <c r="X5" t="s">
        <v>86</v>
      </c>
    </row>
    <row r="6" spans="1:24" x14ac:dyDescent="0.25">
      <c r="A6" s="416" t="s">
        <v>184</v>
      </c>
      <c r="B6" s="27"/>
      <c r="C6" s="141" t="e">
        <f>#REF!</f>
        <v>#REF!</v>
      </c>
      <c r="D6" s="141" t="e">
        <f>#REF!</f>
        <v>#REF!</v>
      </c>
      <c r="E6" s="141" t="e">
        <f>#REF!</f>
        <v>#REF!</v>
      </c>
      <c r="F6" s="141" t="e">
        <f>#REF!</f>
        <v>#REF!</v>
      </c>
      <c r="K6" s="9" t="s">
        <v>87</v>
      </c>
      <c r="L6" s="9"/>
      <c r="M6" s="27" t="e">
        <f>#REF!</f>
        <v>#REF!</v>
      </c>
      <c r="N6" s="27">
        <v>0.82532284638897879</v>
      </c>
      <c r="O6" s="27">
        <v>2.0759467393093938</v>
      </c>
      <c r="R6" t="s">
        <v>76</v>
      </c>
      <c r="S6" s="21">
        <v>0.23523404790241359</v>
      </c>
      <c r="T6" s="21">
        <v>0.30402509132496713</v>
      </c>
      <c r="U6" s="21">
        <v>0.35801049339402741</v>
      </c>
      <c r="V6" s="21">
        <v>0.46731235299495133</v>
      </c>
      <c r="W6" s="21">
        <v>0.9005605939475485</v>
      </c>
      <c r="X6" s="21">
        <v>1.1753861453618453</v>
      </c>
    </row>
    <row r="7" spans="1:24" x14ac:dyDescent="0.25">
      <c r="A7" s="416" t="s">
        <v>79</v>
      </c>
      <c r="B7" s="27"/>
      <c r="C7" s="27"/>
      <c r="D7" s="27"/>
      <c r="E7" s="141" t="e">
        <f>#REF!</f>
        <v>#REF!</v>
      </c>
      <c r="F7" s="141" t="e">
        <f>#REF!</f>
        <v>#REF!</v>
      </c>
      <c r="K7" s="9" t="s">
        <v>76</v>
      </c>
      <c r="L7" s="9"/>
      <c r="M7" s="27" t="e">
        <f>#REF!+#REF!</f>
        <v>#REF!</v>
      </c>
      <c r="N7" s="27" t="e">
        <f>#REF!+#REF!</f>
        <v>#REF!</v>
      </c>
      <c r="O7" s="27" t="e">
        <f>#REF!+#REF!</f>
        <v>#REF!</v>
      </c>
      <c r="R7" t="s">
        <v>77</v>
      </c>
      <c r="S7" s="21">
        <v>0.4260978624458388</v>
      </c>
      <c r="T7" s="21">
        <v>0.5574011761047416</v>
      </c>
      <c r="U7" s="21">
        <v>0.50625957943069821</v>
      </c>
      <c r="V7" s="21">
        <v>0.65711809602901128</v>
      </c>
      <c r="W7" s="21">
        <v>0.99175562484786484</v>
      </c>
      <c r="X7" s="21">
        <v>1.2943272427025458</v>
      </c>
    </row>
    <row r="8" spans="1:24" x14ac:dyDescent="0.25">
      <c r="K8" s="9" t="s">
        <v>77</v>
      </c>
      <c r="L8" s="9"/>
      <c r="M8" s="27" t="e">
        <f>#REF!+#REF!</f>
        <v>#REF!</v>
      </c>
      <c r="N8" s="27" t="e">
        <f>#REF!+#REF!</f>
        <v>#REF!</v>
      </c>
      <c r="O8" s="27" t="e">
        <f>#REF!+#REF!</f>
        <v>#REF!</v>
      </c>
      <c r="R8" t="s">
        <v>78</v>
      </c>
      <c r="S8" s="21">
        <v>0.51217388028629773</v>
      </c>
      <c r="T8" s="21">
        <v>0.66973785667698105</v>
      </c>
      <c r="U8" s="21">
        <v>0.60633524729069499</v>
      </c>
      <c r="V8" s="21">
        <v>0.78796033615222916</v>
      </c>
      <c r="W8" s="21">
        <v>1.091780711912544</v>
      </c>
      <c r="X8" s="21">
        <v>1.4248686703464462</v>
      </c>
    </row>
    <row r="9" spans="1:24" x14ac:dyDescent="0.25">
      <c r="D9" s="25"/>
      <c r="K9" s="9" t="s">
        <v>78</v>
      </c>
      <c r="L9" s="9"/>
      <c r="M9" s="27" t="e">
        <f>#REF!+#REF!</f>
        <v>#REF!</v>
      </c>
      <c r="N9" s="27" t="e">
        <f>#REF!+#REF!</f>
        <v>#REF!</v>
      </c>
      <c r="O9" s="27" t="e">
        <f>#REF!+#REF!</f>
        <v>#REF!</v>
      </c>
      <c r="R9" s="21"/>
      <c r="S9" s="21"/>
    </row>
    <row r="10" spans="1:24" x14ac:dyDescent="0.25">
      <c r="D10" s="25"/>
    </row>
    <row r="18" spans="4:4" x14ac:dyDescent="0.25">
      <c r="D18" s="25"/>
    </row>
    <row r="19" spans="4:4" x14ac:dyDescent="0.25">
      <c r="D19" s="25"/>
    </row>
    <row r="20" spans="4:4" x14ac:dyDescent="0.25">
      <c r="D20" s="25"/>
    </row>
    <row r="21" spans="4:4" x14ac:dyDescent="0.25">
      <c r="D21" s="25"/>
    </row>
    <row r="22" spans="4:4" x14ac:dyDescent="0.25">
      <c r="D22" s="25"/>
    </row>
    <row r="24" spans="4:4" x14ac:dyDescent="0.25">
      <c r="D24" s="25"/>
    </row>
    <row r="25" spans="4:4" x14ac:dyDescent="0.25">
      <c r="D25" s="25"/>
    </row>
    <row r="34" spans="11:17" x14ac:dyDescent="0.25">
      <c r="K34" s="211" t="s">
        <v>355</v>
      </c>
      <c r="L34" s="479" t="e">
        <f>#REF!</f>
        <v>#REF!</v>
      </c>
      <c r="M34" s="479" t="e">
        <f>#REF!</f>
        <v>#REF!</v>
      </c>
      <c r="N34" s="479" t="e">
        <f>#REF!</f>
        <v>#REF!</v>
      </c>
      <c r="O34" s="479" t="e">
        <f>#REF!</f>
        <v>#REF!</v>
      </c>
      <c r="P34" s="479" t="e">
        <f>#REF!</f>
        <v>#REF!</v>
      </c>
      <c r="Q34" s="479" t="e">
        <f>SUM(L34:P34)</f>
        <v>#REF!</v>
      </c>
    </row>
    <row r="35" spans="11:17" x14ac:dyDescent="0.25">
      <c r="K35" s="211" t="s">
        <v>356</v>
      </c>
      <c r="L35" s="480" t="e">
        <f>#REF!</f>
        <v>#REF!</v>
      </c>
      <c r="M35" s="480" t="e">
        <f>#REF!</f>
        <v>#REF!</v>
      </c>
      <c r="N35" s="480" t="e">
        <f>#REF!</f>
        <v>#REF!</v>
      </c>
      <c r="O35" s="480" t="e">
        <f>#REF!</f>
        <v>#REF!</v>
      </c>
      <c r="P35" s="480" t="e">
        <f>#REF!</f>
        <v>#REF!</v>
      </c>
      <c r="Q35" s="479" t="e">
        <f>SUM(L35:P35)</f>
        <v>#REF!</v>
      </c>
    </row>
    <row r="37" spans="11:17" ht="13.8" thickBot="1" x14ac:dyDescent="0.3"/>
    <row r="38" spans="11:17" ht="14.4" thickBot="1" x14ac:dyDescent="0.3">
      <c r="K38" s="6" t="s">
        <v>343</v>
      </c>
    </row>
    <row r="39" spans="11:17" ht="14.4" thickBot="1" x14ac:dyDescent="0.3">
      <c r="K39" s="6" t="s">
        <v>341</v>
      </c>
    </row>
    <row r="40" spans="11:17" ht="14.4" thickBot="1" x14ac:dyDescent="0.3">
      <c r="K40" s="6" t="s">
        <v>342</v>
      </c>
    </row>
    <row r="41" spans="11:17" ht="13.8" thickBot="1" x14ac:dyDescent="0.3">
      <c r="K41" s="476" t="s">
        <v>347</v>
      </c>
    </row>
    <row r="42" spans="11:17" x14ac:dyDescent="0.25">
      <c r="K42" s="477" t="s">
        <v>348</v>
      </c>
    </row>
    <row r="43" spans="11:17" x14ac:dyDescent="0.25">
      <c r="K43" s="7" t="s">
        <v>247</v>
      </c>
    </row>
    <row r="44" spans="11:17" x14ac:dyDescent="0.25">
      <c r="K44" s="7" t="s">
        <v>73</v>
      </c>
    </row>
    <row r="45" spans="11:17" x14ac:dyDescent="0.25">
      <c r="K45" s="7" t="s">
        <v>74</v>
      </c>
    </row>
    <row r="46" spans="11:17" x14ac:dyDescent="0.25">
      <c r="K46" s="8" t="s">
        <v>185</v>
      </c>
    </row>
    <row r="47" spans="11:17" ht="13.8" thickBot="1" x14ac:dyDescent="0.3">
      <c r="K47" s="23" t="s">
        <v>334</v>
      </c>
    </row>
    <row r="76" spans="10:18" x14ac:dyDescent="0.25">
      <c r="J76" t="s">
        <v>88</v>
      </c>
    </row>
    <row r="78" spans="10:18" x14ac:dyDescent="0.25">
      <c r="J78" t="s">
        <v>75</v>
      </c>
      <c r="M78" t="s">
        <v>80</v>
      </c>
      <c r="O78" t="s">
        <v>81</v>
      </c>
      <c r="Q78" t="s">
        <v>82</v>
      </c>
    </row>
    <row r="79" spans="10:18" hidden="1" x14ac:dyDescent="0.25">
      <c r="J79" t="s">
        <v>87</v>
      </c>
      <c r="K79" s="2"/>
      <c r="L79" s="2"/>
      <c r="M79" s="2">
        <v>0.53925913922738067</v>
      </c>
      <c r="N79" s="2"/>
      <c r="O79" s="2">
        <v>0.82532284638897879</v>
      </c>
      <c r="P79" s="2"/>
      <c r="Q79" s="2">
        <v>2.0759467393093938</v>
      </c>
      <c r="R79" s="2"/>
    </row>
    <row r="80" spans="10:18" x14ac:dyDescent="0.25">
      <c r="J80" t="s">
        <v>76</v>
      </c>
      <c r="L80" s="28"/>
      <c r="M80" s="28">
        <f>0.235234047902414+N80</f>
        <v>0.53925913922738111</v>
      </c>
      <c r="N80" s="28">
        <v>0.30402509132496713</v>
      </c>
      <c r="O80" s="28">
        <f>0.358010493394027+P80</f>
        <v>0.82532284638897835</v>
      </c>
      <c r="P80" s="28">
        <v>0.46731235299495133</v>
      </c>
      <c r="Q80" s="28">
        <f>0.900560593947549+R80</f>
        <v>2.0759467393093942</v>
      </c>
      <c r="R80" s="28">
        <v>1.1753861453618453</v>
      </c>
    </row>
    <row r="81" spans="10:18" x14ac:dyDescent="0.25">
      <c r="J81" t="s">
        <v>77</v>
      </c>
      <c r="K81" s="2"/>
      <c r="L81" s="28"/>
      <c r="M81" s="28">
        <f>0.426097862445839+N81</f>
        <v>0.98349903855058063</v>
      </c>
      <c r="N81" s="28">
        <v>0.5574011761047416</v>
      </c>
      <c r="O81" s="28">
        <f>0.506259579430698+P81</f>
        <v>1.1633776754597092</v>
      </c>
      <c r="P81" s="28">
        <v>0.65711809602901128</v>
      </c>
      <c r="Q81" s="28">
        <f>0.991755624847865+R81</f>
        <v>2.2860828675504106</v>
      </c>
      <c r="R81" s="28">
        <v>1.2943272427025458</v>
      </c>
    </row>
    <row r="82" spans="10:18" x14ac:dyDescent="0.25">
      <c r="J82" t="s">
        <v>78</v>
      </c>
      <c r="K82" s="2"/>
      <c r="L82" s="28"/>
      <c r="M82" s="28">
        <f>0.512173880286298+N82</f>
        <v>1.181911736963279</v>
      </c>
      <c r="N82" s="28">
        <v>0.66973785667698105</v>
      </c>
      <c r="O82" s="28">
        <f>0.606335247290695+P82</f>
        <v>1.3942955834429243</v>
      </c>
      <c r="P82" s="28">
        <v>0.78796033615222916</v>
      </c>
      <c r="Q82" s="28">
        <f>1.09178071191254+R82</f>
        <v>2.5166493822589864</v>
      </c>
      <c r="R82" s="28">
        <v>1.4248686703464462</v>
      </c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127"/>
  <sheetViews>
    <sheetView showGridLines="0" topLeftCell="A97" zoomScale="90" zoomScaleNormal="90" zoomScalePageLayoutView="85" workbookViewId="0">
      <selection activeCell="A129" sqref="A129"/>
    </sheetView>
  </sheetViews>
  <sheetFormatPr defaultColWidth="8.5546875" defaultRowHeight="13.2" x14ac:dyDescent="0.25"/>
  <cols>
    <col min="1" max="1" width="77.109375" style="68" customWidth="1"/>
    <col min="2" max="2" width="43.109375" style="68" customWidth="1"/>
    <col min="3" max="3" width="44" style="68" customWidth="1"/>
    <col min="4" max="4" width="24.44140625" style="68" bestFit="1" customWidth="1"/>
    <col min="5" max="5" width="10.5546875" style="68" customWidth="1"/>
    <col min="6" max="16384" width="8.5546875" style="68"/>
  </cols>
  <sheetData>
    <row r="1" spans="1:4" ht="54.9" customHeight="1" thickBot="1" x14ac:dyDescent="0.3">
      <c r="A1" s="513" t="s">
        <v>249</v>
      </c>
      <c r="B1" s="514"/>
      <c r="C1" s="515"/>
    </row>
    <row r="2" spans="1:4" ht="21" thickBot="1" x14ac:dyDescent="0.4">
      <c r="A2" s="551" t="str">
        <f>'Su Temini hizmetleri'!A2</f>
        <v>TEMEL PARAMETRELER</v>
      </c>
      <c r="B2" s="552"/>
      <c r="C2" s="553"/>
    </row>
    <row r="3" spans="1:4" x14ac:dyDescent="0.25">
      <c r="A3" s="454" t="str">
        <f>'Su Temini hizmetleri'!A3</f>
        <v>Hizmet Edilen Nüfus</v>
      </c>
      <c r="B3" s="147" t="str">
        <f>'Su Temini hizmetleri'!B3</f>
        <v>Kişi</v>
      </c>
      <c r="C3" s="200">
        <v>112531</v>
      </c>
      <c r="D3" s="161" t="s">
        <v>133</v>
      </c>
    </row>
    <row r="4" spans="1:4" x14ac:dyDescent="0.25">
      <c r="A4" s="452" t="str">
        <f>'Su Temini hizmetleri'!A4</f>
        <v>Kişi Başı Tüketilen Su</v>
      </c>
      <c r="B4" s="144" t="str">
        <f>'Su Temini hizmetleri'!B4</f>
        <v>l/gün.kişi</v>
      </c>
      <c r="C4" s="158">
        <v>172</v>
      </c>
      <c r="D4" s="161" t="s">
        <v>133</v>
      </c>
    </row>
    <row r="5" spans="1:4" ht="13.8" thickBot="1" x14ac:dyDescent="0.3">
      <c r="A5" s="453" t="e">
        <f>#REF!</f>
        <v>#REF!</v>
      </c>
      <c r="B5" s="159" t="str">
        <f>'Su Temini hizmetleri'!B4</f>
        <v>l/gün.kişi</v>
      </c>
      <c r="C5" s="160">
        <f>(B21/C3)/365*1000</f>
        <v>116.1</v>
      </c>
      <c r="D5" s="161"/>
    </row>
    <row r="6" spans="1:4" ht="17.399999999999999" customHeight="1" thickBot="1" x14ac:dyDescent="0.4">
      <c r="A6" s="554" t="s">
        <v>352</v>
      </c>
      <c r="B6" s="555"/>
      <c r="C6" s="556"/>
      <c r="D6" s="161"/>
    </row>
    <row r="7" spans="1:4" x14ac:dyDescent="0.25">
      <c r="A7" s="577" t="s">
        <v>351</v>
      </c>
      <c r="B7" s="578"/>
      <c r="C7" s="575" t="s">
        <v>200</v>
      </c>
      <c r="D7" s="161"/>
    </row>
    <row r="8" spans="1:4" x14ac:dyDescent="0.25">
      <c r="A8" s="478" t="s">
        <v>344</v>
      </c>
      <c r="B8" s="478" t="s">
        <v>354</v>
      </c>
      <c r="C8" s="576"/>
      <c r="D8" s="161"/>
    </row>
    <row r="9" spans="1:4" x14ac:dyDescent="0.25">
      <c r="A9" s="450">
        <v>0.2</v>
      </c>
      <c r="B9" s="450">
        <v>0.05</v>
      </c>
      <c r="C9" s="450">
        <v>0.05</v>
      </c>
      <c r="D9" s="209" t="s">
        <v>133</v>
      </c>
    </row>
    <row r="10" spans="1:4" ht="13.8" thickBot="1" x14ac:dyDescent="0.3">
      <c r="A10" s="466">
        <f>B18*A9</f>
        <v>1766174.0449999999</v>
      </c>
      <c r="B10" s="466">
        <f>B18*B9</f>
        <v>441543.51124999998</v>
      </c>
      <c r="C10" s="466">
        <f>B18*C9</f>
        <v>441543.51124999998</v>
      </c>
      <c r="D10" s="209"/>
    </row>
    <row r="11" spans="1:4" x14ac:dyDescent="0.25">
      <c r="A11" s="445" t="s">
        <v>335</v>
      </c>
      <c r="B11" s="467">
        <f>B18</f>
        <v>8830870.2249999996</v>
      </c>
      <c r="C11" s="446"/>
      <c r="D11" s="209"/>
    </row>
    <row r="12" spans="1:4" x14ac:dyDescent="0.25">
      <c r="A12" s="448" t="s">
        <v>350</v>
      </c>
      <c r="B12" s="447">
        <f>A10+B10</f>
        <v>2207717.5562499999</v>
      </c>
      <c r="C12" s="449"/>
      <c r="D12" s="209"/>
    </row>
    <row r="13" spans="1:4" x14ac:dyDescent="0.25">
      <c r="A13" s="448" t="s">
        <v>349</v>
      </c>
      <c r="B13" s="447">
        <f>A10+B10+C10</f>
        <v>2649261.0674999999</v>
      </c>
      <c r="C13" s="449"/>
      <c r="D13" s="209"/>
    </row>
    <row r="14" spans="1:4" ht="13.8" thickBot="1" x14ac:dyDescent="0.3">
      <c r="A14" s="443" t="s">
        <v>353</v>
      </c>
      <c r="B14" s="468">
        <f>SUM(A9:C9)</f>
        <v>0.3</v>
      </c>
      <c r="C14" s="444"/>
      <c r="D14" s="161"/>
    </row>
    <row r="15" spans="1:4" x14ac:dyDescent="0.25">
      <c r="D15" s="161"/>
    </row>
    <row r="16" spans="1:4" ht="13.8" thickBot="1" x14ac:dyDescent="0.3">
      <c r="D16" s="161"/>
    </row>
    <row r="17" spans="1:4" ht="19.5" customHeight="1" thickBot="1" x14ac:dyDescent="0.4">
      <c r="A17" s="554" t="s">
        <v>201</v>
      </c>
      <c r="B17" s="555"/>
      <c r="C17" s="556"/>
      <c r="D17" s="161"/>
    </row>
    <row r="18" spans="1:4" ht="14.25" customHeight="1" thickBot="1" x14ac:dyDescent="0.3">
      <c r="A18" s="457" t="s">
        <v>339</v>
      </c>
      <c r="B18" s="458">
        <f>B19/(1-A9)</f>
        <v>8830870.2249999996</v>
      </c>
      <c r="C18" s="571"/>
      <c r="D18" s="161"/>
    </row>
    <row r="19" spans="1:4" ht="13.8" thickBot="1" x14ac:dyDescent="0.3">
      <c r="A19" s="455" t="s">
        <v>338</v>
      </c>
      <c r="B19" s="456">
        <f>C3*C4*365/1000</f>
        <v>7064696.1799999997</v>
      </c>
      <c r="C19" s="572"/>
      <c r="D19" s="161"/>
    </row>
    <row r="20" spans="1:4" x14ac:dyDescent="0.25">
      <c r="A20" s="470" t="s">
        <v>345</v>
      </c>
      <c r="B20" s="472">
        <f>B19-(B19*(B9+C9))</f>
        <v>6358226.5619999999</v>
      </c>
      <c r="C20" s="459" t="s">
        <v>318</v>
      </c>
      <c r="D20" s="161"/>
    </row>
    <row r="21" spans="1:4" x14ac:dyDescent="0.25">
      <c r="A21" s="462" t="s">
        <v>336</v>
      </c>
      <c r="B21" s="469">
        <f>B20*C21</f>
        <v>4768669.9215000002</v>
      </c>
      <c r="C21" s="474">
        <v>0.75</v>
      </c>
      <c r="D21" s="209" t="s">
        <v>133</v>
      </c>
    </row>
    <row r="22" spans="1:4" ht="13.8" thickBot="1" x14ac:dyDescent="0.3">
      <c r="A22" s="471" t="s">
        <v>337</v>
      </c>
      <c r="B22" s="473">
        <f>B20*C22</f>
        <v>1589556.6405</v>
      </c>
      <c r="C22" s="475">
        <v>0.25</v>
      </c>
      <c r="D22" s="209" t="s">
        <v>133</v>
      </c>
    </row>
    <row r="23" spans="1:4" x14ac:dyDescent="0.25">
      <c r="D23" s="161"/>
    </row>
    <row r="24" spans="1:4" ht="13.8" thickBot="1" x14ac:dyDescent="0.3">
      <c r="A24" s="408"/>
      <c r="D24" s="161"/>
    </row>
    <row r="25" spans="1:4" ht="21" thickBot="1" x14ac:dyDescent="0.4">
      <c r="A25" s="557" t="s">
        <v>202</v>
      </c>
      <c r="B25" s="569"/>
      <c r="C25" s="570"/>
      <c r="D25" s="161"/>
    </row>
    <row r="26" spans="1:4" ht="17.100000000000001" customHeight="1" x14ac:dyDescent="0.3">
      <c r="A26" s="534" t="s">
        <v>138</v>
      </c>
      <c r="B26" s="535"/>
      <c r="C26" s="536"/>
      <c r="D26" s="209" t="s">
        <v>133</v>
      </c>
    </row>
    <row r="27" spans="1:4" ht="13.5" customHeight="1" thickBot="1" x14ac:dyDescent="0.3">
      <c r="A27" s="350" t="s">
        <v>0</v>
      </c>
      <c r="B27" s="393" t="str">
        <f>'Su Temini hizmetleri'!B43</f>
        <v>₺ /yıl</v>
      </c>
      <c r="C27" s="412">
        <f>'Genel Maliyetler'!C45</f>
        <v>4364263.4919656664</v>
      </c>
      <c r="D27" s="161"/>
    </row>
    <row r="28" spans="1:4" ht="36.9" customHeight="1" thickBot="1" x14ac:dyDescent="0.4">
      <c r="A28" s="568" t="s">
        <v>319</v>
      </c>
      <c r="B28" s="569"/>
      <c r="C28" s="570"/>
      <c r="D28" s="161"/>
    </row>
    <row r="29" spans="1:4" ht="17.399999999999999" x14ac:dyDescent="0.3">
      <c r="A29" s="534" t="s">
        <v>138</v>
      </c>
      <c r="B29" s="535"/>
      <c r="C29" s="536"/>
      <c r="D29" s="209" t="s">
        <v>133</v>
      </c>
    </row>
    <row r="30" spans="1:4" x14ac:dyDescent="0.25">
      <c r="A30" s="413" t="s">
        <v>313</v>
      </c>
      <c r="B30" s="409" t="s">
        <v>290</v>
      </c>
      <c r="C30" s="414">
        <f>'Su-Atıksu Amortisman '!G34*'TARİFE HESAP DİYGRAMI-KURALLARI'!B2</f>
        <v>7674195.6407108894</v>
      </c>
      <c r="D30" s="161"/>
    </row>
    <row r="31" spans="1:4" ht="13.8" thickBot="1" x14ac:dyDescent="0.3">
      <c r="A31" s="411" t="s">
        <v>314</v>
      </c>
      <c r="B31" s="410" t="s">
        <v>290</v>
      </c>
      <c r="C31" s="412">
        <f>'Su-Atıksu Amortisman '!G73*'TARİFE HESAP DİYGRAMI-KURALLARI'!B2</f>
        <v>9841300</v>
      </c>
      <c r="D31" s="161"/>
    </row>
    <row r="32" spans="1:4" ht="21" thickBot="1" x14ac:dyDescent="0.4">
      <c r="A32" s="537" t="s">
        <v>346</v>
      </c>
      <c r="B32" s="546"/>
      <c r="C32" s="547"/>
      <c r="D32" s="161"/>
    </row>
    <row r="33" spans="1:4" ht="17.399999999999999" x14ac:dyDescent="0.3">
      <c r="A33" s="531" t="s">
        <v>129</v>
      </c>
      <c r="B33" s="532"/>
      <c r="C33" s="533"/>
      <c r="D33" s="161" t="s">
        <v>133</v>
      </c>
    </row>
    <row r="34" spans="1:4" x14ac:dyDescent="0.25">
      <c r="A34" s="371" t="str">
        <f>'Su Temini hizmetleri'!A43</f>
        <v xml:space="preserve">(i) Toplam Maliyetler </v>
      </c>
      <c r="B34" s="372" t="str">
        <f>'Su Temini hizmetleri'!B43</f>
        <v>₺ /yıl</v>
      </c>
      <c r="C34" s="425">
        <f>'Su Temini hizmetleri'!C43</f>
        <v>20202588.068865053</v>
      </c>
      <c r="D34" s="161"/>
    </row>
    <row r="35" spans="1:4" ht="13.8" thickBot="1" x14ac:dyDescent="0.3">
      <c r="A35" s="373" t="str">
        <f>'Su Temini hizmetleri'!A44</f>
        <v xml:space="preserve"> Su Temini Finansal Tam Maliyeti</v>
      </c>
      <c r="B35" s="374" t="str">
        <f>'Su Temini hizmetleri'!B44</f>
        <v>₺ /m3</v>
      </c>
      <c r="C35" s="391">
        <f>'Su Temini hizmetleri'!C44</f>
        <v>3.1773935502087971</v>
      </c>
      <c r="D35" s="161"/>
    </row>
    <row r="36" spans="1:4" ht="21" thickBot="1" x14ac:dyDescent="0.4">
      <c r="A36" s="537" t="s">
        <v>283</v>
      </c>
      <c r="B36" s="538"/>
      <c r="C36" s="539"/>
      <c r="D36" s="161"/>
    </row>
    <row r="37" spans="1:4" ht="17.399999999999999" x14ac:dyDescent="0.3">
      <c r="A37" s="534" t="s">
        <v>129</v>
      </c>
      <c r="B37" s="535"/>
      <c r="C37" s="536"/>
      <c r="D37" s="161" t="s">
        <v>133</v>
      </c>
    </row>
    <row r="38" spans="1:4" x14ac:dyDescent="0.25">
      <c r="A38" s="389" t="str">
        <f>'Atıksu Hizmetleri'!A46</f>
        <v xml:space="preserve">(i) Toplam Maliyetler </v>
      </c>
      <c r="B38" s="142" t="str">
        <f>'Atıksu Hizmetleri'!B46</f>
        <v>₺ /yıl</v>
      </c>
      <c r="C38" s="426">
        <f>'Atıksu Hizmetleri'!C46</f>
        <v>23102047.400739655</v>
      </c>
      <c r="D38" s="161"/>
    </row>
    <row r="39" spans="1:4" ht="13.8" thickBot="1" x14ac:dyDescent="0.3">
      <c r="A39" s="390" t="str">
        <f>'Atıksu Hizmetleri'!A47</f>
        <v>Atıksu Finansal Tam Maliyeti</v>
      </c>
      <c r="B39" s="143" t="str">
        <f>'Atıksu Hizmetleri'!B47</f>
        <v>₺/ m3</v>
      </c>
      <c r="C39" s="392">
        <f>'Atıksu Hizmetleri'!C47</f>
        <v>3.6334105391602836</v>
      </c>
      <c r="D39" s="161"/>
    </row>
    <row r="40" spans="1:4" ht="21" thickBot="1" x14ac:dyDescent="0.4">
      <c r="A40" s="557" t="s">
        <v>288</v>
      </c>
      <c r="B40" s="558"/>
      <c r="C40" s="559"/>
      <c r="D40" s="161"/>
    </row>
    <row r="41" spans="1:4" x14ac:dyDescent="0.25">
      <c r="A41" s="461" t="s">
        <v>268</v>
      </c>
      <c r="B41" s="560">
        <f>'Sabit ve Değiş. Fins. Maliyet.'!B5</f>
        <v>9969457.424629217</v>
      </c>
      <c r="C41" s="561"/>
      <c r="D41" s="161"/>
    </row>
    <row r="42" spans="1:4" x14ac:dyDescent="0.25">
      <c r="A42" s="462" t="s">
        <v>269</v>
      </c>
      <c r="B42" s="562">
        <f>'Sabit ve Değiş. Fins. Maliyet.'!B12</f>
        <v>35266774.745082609</v>
      </c>
      <c r="C42" s="563"/>
      <c r="D42" s="161"/>
    </row>
    <row r="43" spans="1:4" ht="13.8" thickBot="1" x14ac:dyDescent="0.3">
      <c r="A43" s="463" t="s">
        <v>0</v>
      </c>
      <c r="B43" s="564">
        <f>C34+C38</f>
        <v>43304635.469604708</v>
      </c>
      <c r="C43" s="565"/>
      <c r="D43" s="161"/>
    </row>
    <row r="44" spans="1:4" x14ac:dyDescent="0.25">
      <c r="A44" s="573"/>
      <c r="B44" s="573"/>
      <c r="C44" s="573"/>
      <c r="D44" s="161"/>
    </row>
    <row r="45" spans="1:4" ht="13.8" thickBot="1" x14ac:dyDescent="0.3">
      <c r="A45" s="574"/>
      <c r="B45" s="574"/>
      <c r="C45" s="574"/>
      <c r="D45" s="161"/>
    </row>
    <row r="46" spans="1:4" ht="21" thickBot="1" x14ac:dyDescent="0.4">
      <c r="A46" s="540" t="s">
        <v>289</v>
      </c>
      <c r="B46" s="541"/>
      <c r="C46" s="542"/>
      <c r="D46" s="161"/>
    </row>
    <row r="47" spans="1:4" x14ac:dyDescent="0.25">
      <c r="A47" s="375" t="str">
        <f>'Kaynak Maliyeti'!A3</f>
        <v>Yeraltsu(YAS) Kütlesinden Çekilen Toplam Su</v>
      </c>
      <c r="B47" s="375" t="str">
        <f>'Kaynak Maliyeti'!B3</f>
        <v>m3/yıl</v>
      </c>
      <c r="C47" s="376">
        <v>96170000</v>
      </c>
      <c r="D47" s="162" t="s">
        <v>133</v>
      </c>
    </row>
    <row r="48" spans="1:4" x14ac:dyDescent="0.25">
      <c r="A48" s="375" t="str">
        <f>'Kaynak Maliyeti'!A4</f>
        <v>Toplam Yeraltısuyu Beslenmesi</v>
      </c>
      <c r="B48" s="375" t="str">
        <f>'Kaynak Maliyeti'!B4</f>
        <v>m3/yıl</v>
      </c>
      <c r="C48" s="376">
        <v>77950000</v>
      </c>
      <c r="D48" s="162" t="s">
        <v>133</v>
      </c>
    </row>
    <row r="49" spans="1:4" x14ac:dyDescent="0.25">
      <c r="A49" s="375" t="str">
        <f>'Kaynak Maliyeti'!A6</f>
        <v>YAS kütlesinden Belediyelerce çekilen su</v>
      </c>
      <c r="B49" s="375" t="str">
        <f>'Kaynak Maliyeti'!B6</f>
        <v>m3/yıl</v>
      </c>
      <c r="C49" s="376">
        <v>14500000</v>
      </c>
      <c r="D49" s="162" t="s">
        <v>133</v>
      </c>
    </row>
    <row r="50" spans="1:4" x14ac:dyDescent="0.25">
      <c r="A50" s="375" t="s">
        <v>340</v>
      </c>
      <c r="B50" s="375" t="s">
        <v>26</v>
      </c>
      <c r="C50" s="460">
        <v>0.12</v>
      </c>
      <c r="D50" s="162" t="s">
        <v>133</v>
      </c>
    </row>
    <row r="51" spans="1:4" x14ac:dyDescent="0.25">
      <c r="A51" s="375" t="str">
        <f>'Kaynak Maliyeti'!A9</f>
        <v>Belediye tarafından çekilen su</v>
      </c>
      <c r="B51" s="375" t="str">
        <f>'Kaynak Maliyeti'!B9</f>
        <v>m3/yıl</v>
      </c>
      <c r="C51" s="376">
        <f>B18*C50</f>
        <v>1059704.4269999999</v>
      </c>
    </row>
    <row r="52" spans="1:4" x14ac:dyDescent="0.25">
      <c r="A52" s="377" t="str">
        <f>'Kaynak Maliyeti'!A10</f>
        <v>Toplam Kaynak Maliyeti</v>
      </c>
      <c r="B52" s="377" t="str">
        <f>'Kaynak Maliyeti'!B10</f>
        <v>₺/yıl</v>
      </c>
      <c r="C52" s="378">
        <f>'Kaynak Maliyeti'!C10</f>
        <v>4768669.9214999992</v>
      </c>
      <c r="D52" s="162"/>
    </row>
    <row r="53" spans="1:4" ht="13.8" thickBot="1" x14ac:dyDescent="0.3">
      <c r="A53" s="406" t="str">
        <f>'Kaynak Maliyeti'!A13</f>
        <v>Kaynak Maliyeti</v>
      </c>
      <c r="B53" s="406" t="str">
        <f>'Kaynak Maliyeti'!B13</f>
        <v>₺/m3</v>
      </c>
      <c r="C53" s="407">
        <f>'Kaynak Maliyeti'!C13</f>
        <v>0.74999999999999989</v>
      </c>
      <c r="D53" s="161"/>
    </row>
    <row r="54" spans="1:4" ht="16.5" customHeight="1" thickBot="1" x14ac:dyDescent="0.3">
      <c r="A54" s="518" t="s">
        <v>140</v>
      </c>
      <c r="B54" s="519"/>
      <c r="C54" s="520"/>
    </row>
    <row r="55" spans="1:4" x14ac:dyDescent="0.25">
      <c r="A55" s="485"/>
      <c r="B55" s="485"/>
      <c r="C55" s="485"/>
      <c r="D55" s="162"/>
    </row>
    <row r="56" spans="1:4" ht="13.8" thickBot="1" x14ac:dyDescent="0.3">
      <c r="A56" s="486"/>
      <c r="B56" s="486"/>
      <c r="C56" s="486"/>
      <c r="D56" s="162"/>
    </row>
    <row r="57" spans="1:4" ht="21" thickBot="1" x14ac:dyDescent="0.4">
      <c r="A57" s="543" t="s">
        <v>320</v>
      </c>
      <c r="B57" s="544"/>
      <c r="C57" s="545"/>
      <c r="D57" s="161"/>
    </row>
    <row r="58" spans="1:4" x14ac:dyDescent="0.25">
      <c r="A58" s="198" t="str">
        <f>'Çevresel Maliyet'!A3</f>
        <v>Belediye için NHYP'deki tedbriler programı toplam bütçesi</v>
      </c>
      <c r="B58" s="192" t="str">
        <f>'Çevresel Maliyet'!B3</f>
        <v>₺</v>
      </c>
      <c r="C58" s="199">
        <v>0</v>
      </c>
      <c r="D58" s="162" t="s">
        <v>133</v>
      </c>
    </row>
    <row r="59" spans="1:4" x14ac:dyDescent="0.25">
      <c r="A59" s="193" t="str">
        <f>'Çevresel Maliyet'!A4</f>
        <v>Her bir tedbirin ekonomik ömrünün süresi</v>
      </c>
      <c r="B59" s="191" t="str">
        <f>'Çevresel Maliyet'!B4</f>
        <v>Yıl</v>
      </c>
      <c r="C59" s="194">
        <v>25</v>
      </c>
      <c r="D59" s="162" t="s">
        <v>133</v>
      </c>
    </row>
    <row r="60" spans="1:4" x14ac:dyDescent="0.25">
      <c r="A60" s="193" t="str">
        <f>'Çevresel Maliyet'!A5</f>
        <v>İskonto oranı</v>
      </c>
      <c r="B60" s="191" t="str">
        <f>'Çevresel Maliyet'!B5</f>
        <v>%</v>
      </c>
      <c r="C60" s="195">
        <v>0.1</v>
      </c>
      <c r="D60" s="162" t="s">
        <v>133</v>
      </c>
    </row>
    <row r="61" spans="1:4" x14ac:dyDescent="0.25">
      <c r="A61" s="196" t="str">
        <f>'Çevresel Maliyet'!A7</f>
        <v xml:space="preserve">Toplam çevresel maliyet(110% / YEM) </v>
      </c>
      <c r="B61" s="197" t="str">
        <f>'Çevresel Maliyet'!B7</f>
        <v>₺/yıl</v>
      </c>
      <c r="C61" s="351">
        <f>'Çevresel Maliyet'!C7</f>
        <v>9405000</v>
      </c>
      <c r="D61" s="162"/>
    </row>
    <row r="62" spans="1:4" ht="13.8" thickBot="1" x14ac:dyDescent="0.3">
      <c r="A62" s="403" t="str">
        <f>'Çevresel Maliyet'!A10</f>
        <v>Çevresel Maliyet</v>
      </c>
      <c r="B62" s="404" t="str">
        <f>'Çevresel Maliyet'!B10</f>
        <v>₺/m3</v>
      </c>
      <c r="C62" s="405">
        <f>'Çevresel Maliyet'!C10</f>
        <v>1.4791860447705765</v>
      </c>
    </row>
    <row r="63" spans="1:4" ht="18" thickBot="1" x14ac:dyDescent="0.3">
      <c r="A63" s="487" t="s">
        <v>137</v>
      </c>
      <c r="B63" s="488"/>
      <c r="C63" s="489"/>
      <c r="D63" s="162"/>
    </row>
    <row r="64" spans="1:4" x14ac:dyDescent="0.25">
      <c r="A64" s="485"/>
      <c r="B64" s="485"/>
      <c r="C64" s="485"/>
      <c r="D64" s="162"/>
    </row>
    <row r="65" spans="1:4" ht="13.8" thickBot="1" x14ac:dyDescent="0.3">
      <c r="A65" s="486"/>
      <c r="B65" s="486"/>
      <c r="C65" s="486"/>
      <c r="D65" s="162"/>
    </row>
    <row r="66" spans="1:4" ht="21" thickBot="1" x14ac:dyDescent="0.4">
      <c r="A66" s="537" t="s">
        <v>190</v>
      </c>
      <c r="B66" s="546"/>
      <c r="C66" s="547"/>
      <c r="D66" s="161"/>
    </row>
    <row r="67" spans="1:4" ht="17.399999999999999" x14ac:dyDescent="0.25">
      <c r="A67" s="379" t="e">
        <f>#REF!+#REF!+#REF!</f>
        <v>#REF!</v>
      </c>
      <c r="B67" s="566" t="str">
        <f>' Veri Girişi ve Sonuç Tablosu'!B52</f>
        <v>₺/yıl</v>
      </c>
      <c r="C67" s="567"/>
      <c r="D67" s="161"/>
    </row>
    <row r="68" spans="1:4" ht="14.1" customHeight="1" thickBot="1" x14ac:dyDescent="0.3">
      <c r="A68" s="380">
        <f>'Tam Maliyet'!C7</f>
        <v>9.5848544612891828</v>
      </c>
      <c r="B68" s="381" t="str">
        <f>'Tam Maliyet'!B7</f>
        <v>₺/m3</v>
      </c>
      <c r="C68" s="382"/>
      <c r="D68" s="161"/>
    </row>
    <row r="69" spans="1:4" ht="13.5" customHeight="1" thickBot="1" x14ac:dyDescent="0.3">
      <c r="A69" s="518" t="s">
        <v>137</v>
      </c>
      <c r="B69" s="519"/>
      <c r="C69" s="520"/>
      <c r="D69" s="161"/>
    </row>
    <row r="70" spans="1:4" ht="13.5" customHeight="1" x14ac:dyDescent="0.25">
      <c r="A70" s="485"/>
      <c r="B70" s="485"/>
      <c r="C70" s="485"/>
      <c r="D70" s="161"/>
    </row>
    <row r="71" spans="1:4" ht="13.5" customHeight="1" thickBot="1" x14ac:dyDescent="0.3">
      <c r="A71" s="486"/>
      <c r="B71" s="486"/>
      <c r="C71" s="486"/>
      <c r="D71" s="161"/>
    </row>
    <row r="72" spans="1:4" ht="21" thickBot="1" x14ac:dyDescent="0.4">
      <c r="A72" s="548" t="s">
        <v>203</v>
      </c>
      <c r="B72" s="549"/>
      <c r="C72" s="550"/>
      <c r="D72" s="161"/>
    </row>
    <row r="73" spans="1:4" x14ac:dyDescent="0.25">
      <c r="A73" s="287" t="s">
        <v>205</v>
      </c>
      <c r="B73" s="338" t="s">
        <v>207</v>
      </c>
      <c r="C73" s="157">
        <v>35000</v>
      </c>
      <c r="D73" s="161" t="s">
        <v>133</v>
      </c>
    </row>
    <row r="74" spans="1:4" x14ac:dyDescent="0.25">
      <c r="A74" s="287" t="s">
        <v>277</v>
      </c>
      <c r="B74" s="339" t="s">
        <v>206</v>
      </c>
      <c r="C74" s="158">
        <v>11770</v>
      </c>
      <c r="D74" s="161" t="s">
        <v>133</v>
      </c>
    </row>
    <row r="75" spans="1:4" x14ac:dyDescent="0.25">
      <c r="A75" s="287" t="s">
        <v>284</v>
      </c>
      <c r="B75" s="339" t="s">
        <v>165</v>
      </c>
      <c r="C75" s="149">
        <v>3.5</v>
      </c>
      <c r="D75" s="161" t="s">
        <v>133</v>
      </c>
    </row>
    <row r="76" spans="1:4" x14ac:dyDescent="0.25">
      <c r="A76" s="148" t="e">
        <f>#REF!</f>
        <v>#REF!</v>
      </c>
      <c r="B76" s="144" t="e">
        <f>#REF!</f>
        <v>#REF!</v>
      </c>
      <c r="C76" s="150" t="e">
        <f>#REF!</f>
        <v>#REF!</v>
      </c>
    </row>
    <row r="77" spans="1:4" x14ac:dyDescent="0.25">
      <c r="A77" s="148" t="e">
        <f>#REF!</f>
        <v>#REF!</v>
      </c>
      <c r="B77" s="144" t="e">
        <f>#REF!</f>
        <v>#REF!</v>
      </c>
      <c r="C77" s="150" t="e">
        <f>#REF!</f>
        <v>#REF!</v>
      </c>
    </row>
    <row r="78" spans="1:4" x14ac:dyDescent="0.25">
      <c r="A78" s="151" t="e">
        <f>#REF!</f>
        <v>#REF!</v>
      </c>
      <c r="B78" s="145" t="e">
        <f>#REF!</f>
        <v>#REF!</v>
      </c>
      <c r="C78" s="152" t="e">
        <f>#REF!</f>
        <v>#REF!</v>
      </c>
    </row>
    <row r="79" spans="1:4" ht="13.8" thickBot="1" x14ac:dyDescent="0.3">
      <c r="A79" s="153" t="e">
        <f>#REF!</f>
        <v>#REF!</v>
      </c>
      <c r="B79" s="154" t="e">
        <f>#REF!</f>
        <v>#REF!</v>
      </c>
      <c r="C79" s="155" t="e">
        <f>#REF!</f>
        <v>#REF!</v>
      </c>
    </row>
    <row r="80" spans="1:4" ht="18" thickBot="1" x14ac:dyDescent="0.3">
      <c r="A80" s="487" t="s">
        <v>137</v>
      </c>
      <c r="B80" s="488"/>
      <c r="C80" s="489"/>
    </row>
    <row r="81" spans="1:4" ht="21" thickBot="1" x14ac:dyDescent="0.4">
      <c r="A81" s="490" t="s">
        <v>204</v>
      </c>
      <c r="B81" s="516"/>
      <c r="C81" s="517"/>
    </row>
    <row r="82" spans="1:4" ht="19.5" customHeight="1" thickBot="1" x14ac:dyDescent="0.3">
      <c r="A82" s="518" t="s">
        <v>129</v>
      </c>
      <c r="B82" s="519"/>
      <c r="C82" s="520"/>
    </row>
    <row r="83" spans="1:4" x14ac:dyDescent="0.25">
      <c r="A83" s="383" t="e">
        <f>#REF!</f>
        <v>#REF!</v>
      </c>
      <c r="B83" s="384" t="e">
        <f>#REF!</f>
        <v>#REF!</v>
      </c>
      <c r="C83" s="385" t="s">
        <v>126</v>
      </c>
    </row>
    <row r="84" spans="1:4" ht="13.8" thickBot="1" x14ac:dyDescent="0.3">
      <c r="A84" s="386" t="e">
        <f>#REF!</f>
        <v>#REF!</v>
      </c>
      <c r="B84" s="387" t="e">
        <f>#REF!</f>
        <v>#REF!</v>
      </c>
      <c r="C84" s="388" t="s">
        <v>126</v>
      </c>
    </row>
    <row r="85" spans="1:4" ht="21" thickBot="1" x14ac:dyDescent="0.4">
      <c r="A85" s="490" t="s">
        <v>276</v>
      </c>
      <c r="B85" s="491"/>
      <c r="C85" s="492"/>
      <c r="D85" s="138"/>
    </row>
    <row r="86" spans="1:4" ht="13.8" thickBot="1" x14ac:dyDescent="0.3">
      <c r="A86" s="482" t="e">
        <f>#REF!</f>
        <v>#REF!</v>
      </c>
      <c r="B86" s="483"/>
      <c r="C86" s="484"/>
    </row>
    <row r="87" spans="1:4" x14ac:dyDescent="0.25">
      <c r="A87" s="146" t="e">
        <f>#REF!</f>
        <v>#REF!</v>
      </c>
      <c r="B87" s="464" t="s">
        <v>290</v>
      </c>
      <c r="C87" s="417">
        <v>800000</v>
      </c>
      <c r="D87" s="161" t="s">
        <v>133</v>
      </c>
    </row>
    <row r="88" spans="1:4" x14ac:dyDescent="0.25">
      <c r="A88" s="148" t="e">
        <f>#REF!</f>
        <v>#REF!</v>
      </c>
      <c r="B88" s="451" t="s">
        <v>290</v>
      </c>
      <c r="C88" s="418">
        <v>4500000</v>
      </c>
      <c r="D88" s="161" t="s">
        <v>133</v>
      </c>
    </row>
    <row r="89" spans="1:4" ht="13.8" thickBot="1" x14ac:dyDescent="0.3">
      <c r="A89" s="156" t="e">
        <f>#REF!</f>
        <v>#REF!</v>
      </c>
      <c r="B89" s="465" t="s">
        <v>290</v>
      </c>
      <c r="C89" s="419">
        <v>4000000</v>
      </c>
      <c r="D89" s="161" t="s">
        <v>133</v>
      </c>
    </row>
    <row r="90" spans="1:4" ht="13.8" thickBot="1" x14ac:dyDescent="0.3">
      <c r="A90" s="482" t="s">
        <v>270</v>
      </c>
      <c r="B90" s="483"/>
      <c r="C90" s="484"/>
    </row>
    <row r="91" spans="1:4" x14ac:dyDescent="0.25">
      <c r="A91" s="502" t="s">
        <v>274</v>
      </c>
      <c r="B91" s="503"/>
      <c r="C91" s="422" t="s">
        <v>278</v>
      </c>
      <c r="D91" s="161"/>
    </row>
    <row r="92" spans="1:4" x14ac:dyDescent="0.25">
      <c r="A92" s="504" t="s">
        <v>181</v>
      </c>
      <c r="B92" s="505"/>
      <c r="C92" s="203">
        <v>0.05</v>
      </c>
      <c r="D92" s="161" t="s">
        <v>133</v>
      </c>
    </row>
    <row r="93" spans="1:4" x14ac:dyDescent="0.25">
      <c r="A93" s="504" t="s">
        <v>182</v>
      </c>
      <c r="B93" s="505"/>
      <c r="C93" s="203">
        <v>1.4999999999999999E-2</v>
      </c>
      <c r="D93" s="161" t="s">
        <v>133</v>
      </c>
    </row>
    <row r="94" spans="1:4" x14ac:dyDescent="0.25">
      <c r="A94" s="498" t="s">
        <v>275</v>
      </c>
      <c r="B94" s="499"/>
      <c r="C94" s="204"/>
      <c r="D94" s="161"/>
    </row>
    <row r="95" spans="1:4" x14ac:dyDescent="0.25">
      <c r="A95" s="504" t="s">
        <v>181</v>
      </c>
      <c r="B95" s="505"/>
      <c r="C95" s="203">
        <v>0.03</v>
      </c>
      <c r="D95" s="161" t="s">
        <v>133</v>
      </c>
    </row>
    <row r="96" spans="1:4" x14ac:dyDescent="0.25">
      <c r="A96" s="504" t="s">
        <v>182</v>
      </c>
      <c r="B96" s="505"/>
      <c r="C96" s="203">
        <v>5.0000000000000001E-3</v>
      </c>
      <c r="D96" s="161" t="s">
        <v>133</v>
      </c>
    </row>
    <row r="97" spans="1:4" ht="13.8" thickBot="1" x14ac:dyDescent="0.3">
      <c r="A97" s="500" t="s">
        <v>0</v>
      </c>
      <c r="B97" s="501"/>
      <c r="C97" s="205">
        <f>SUM(C92:C96)</f>
        <v>0.1</v>
      </c>
      <c r="D97" s="161"/>
    </row>
    <row r="98" spans="1:4" ht="13.8" thickBot="1" x14ac:dyDescent="0.3">
      <c r="A98" s="482" t="s">
        <v>281</v>
      </c>
      <c r="B98" s="483"/>
      <c r="C98" s="484"/>
    </row>
    <row r="99" spans="1:4" x14ac:dyDescent="0.25">
      <c r="A99" s="496" t="s">
        <v>271</v>
      </c>
      <c r="B99" s="497"/>
      <c r="C99" s="420" t="s">
        <v>279</v>
      </c>
      <c r="D99" s="161"/>
    </row>
    <row r="100" spans="1:4" x14ac:dyDescent="0.25">
      <c r="A100" s="498" t="s">
        <v>272</v>
      </c>
      <c r="B100" s="499"/>
      <c r="C100" s="203">
        <v>0.1</v>
      </c>
      <c r="D100" s="161" t="s">
        <v>133</v>
      </c>
    </row>
    <row r="101" spans="1:4" x14ac:dyDescent="0.25">
      <c r="A101" s="498" t="s">
        <v>273</v>
      </c>
      <c r="B101" s="499"/>
      <c r="C101" s="206">
        <v>0.05</v>
      </c>
      <c r="D101" s="161" t="s">
        <v>133</v>
      </c>
    </row>
    <row r="102" spans="1:4" ht="13.8" thickBot="1" x14ac:dyDescent="0.3">
      <c r="A102" s="500" t="s">
        <v>0</v>
      </c>
      <c r="B102" s="501"/>
      <c r="C102" s="421">
        <f>SUM(C100:C101)</f>
        <v>0.15000000000000002</v>
      </c>
      <c r="D102" s="161"/>
    </row>
    <row r="103" spans="1:4" ht="18" thickBot="1" x14ac:dyDescent="0.35">
      <c r="A103" s="493" t="s">
        <v>250</v>
      </c>
      <c r="B103" s="494"/>
      <c r="C103" s="495"/>
    </row>
    <row r="104" spans="1:4" ht="21" thickBot="1" x14ac:dyDescent="0.4">
      <c r="A104" s="527" t="e">
        <f>#REF!</f>
        <v>#REF!</v>
      </c>
      <c r="B104" s="528"/>
      <c r="C104" s="529"/>
    </row>
    <row r="105" spans="1:4" ht="20.399999999999999" x14ac:dyDescent="0.35">
      <c r="A105" s="506" t="e">
        <f>#REF!</f>
        <v>#REF!</v>
      </c>
      <c r="B105" s="507"/>
      <c r="C105" s="423" t="e">
        <f>#REF!</f>
        <v>#REF!</v>
      </c>
    </row>
    <row r="106" spans="1:4" ht="20.399999999999999" x14ac:dyDescent="0.35">
      <c r="A106" s="508" t="e">
        <f>#REF!</f>
        <v>#REF!</v>
      </c>
      <c r="B106" s="509"/>
      <c r="C106" s="424" t="e">
        <f>#REF!</f>
        <v>#REF!</v>
      </c>
    </row>
    <row r="107" spans="1:4" ht="21" thickBot="1" x14ac:dyDescent="0.4">
      <c r="A107" s="508" t="e">
        <f>#REF!</f>
        <v>#REF!</v>
      </c>
      <c r="B107" s="509"/>
      <c r="C107" s="424" t="e">
        <f>#REF!</f>
        <v>#REF!</v>
      </c>
    </row>
    <row r="108" spans="1:4" ht="18" thickBot="1" x14ac:dyDescent="0.3">
      <c r="A108" s="487" t="s">
        <v>132</v>
      </c>
      <c r="B108" s="488"/>
      <c r="C108" s="489"/>
    </row>
    <row r="109" spans="1:4" ht="20.25" customHeight="1" thickBot="1" x14ac:dyDescent="0.4">
      <c r="A109" s="530" t="s">
        <v>130</v>
      </c>
      <c r="B109" s="516"/>
      <c r="C109" s="517"/>
    </row>
    <row r="110" spans="1:4" ht="12.75" customHeight="1" x14ac:dyDescent="0.25">
      <c r="A110" s="521" t="s">
        <v>131</v>
      </c>
      <c r="B110" s="522"/>
      <c r="C110" s="523"/>
    </row>
    <row r="111" spans="1:4" ht="8.4" customHeight="1" thickBot="1" x14ac:dyDescent="0.3">
      <c r="A111" s="524"/>
      <c r="B111" s="525"/>
      <c r="C111" s="526"/>
    </row>
    <row r="112" spans="1:4" x14ac:dyDescent="0.25">
      <c r="A112" s="485"/>
      <c r="B112" s="485"/>
      <c r="C112" s="485"/>
    </row>
    <row r="113" spans="1:5" ht="13.8" thickBot="1" x14ac:dyDescent="0.3">
      <c r="A113" s="486"/>
      <c r="B113" s="486"/>
      <c r="C113" s="486"/>
    </row>
    <row r="114" spans="1:5" ht="24" thickBot="1" x14ac:dyDescent="0.45">
      <c r="A114" s="510" t="e">
        <f>#REF!</f>
        <v>#REF!</v>
      </c>
      <c r="B114" s="511"/>
      <c r="C114" s="511"/>
      <c r="D114" s="511"/>
      <c r="E114" s="512"/>
    </row>
    <row r="115" spans="1:5" ht="13.8" x14ac:dyDescent="0.25">
      <c r="A115" s="394" t="e">
        <f>#REF!</f>
        <v>#REF!</v>
      </c>
      <c r="B115" s="395"/>
      <c r="C115" s="395"/>
      <c r="D115" s="395"/>
      <c r="E115" s="396"/>
    </row>
    <row r="116" spans="1:5" ht="13.8" x14ac:dyDescent="0.25">
      <c r="A116" s="397" t="e">
        <f>#REF!</f>
        <v>#REF!</v>
      </c>
      <c r="B116" s="398"/>
      <c r="C116" s="398"/>
      <c r="D116" s="398"/>
      <c r="E116" s="399"/>
    </row>
    <row r="117" spans="1:5" ht="13.8" x14ac:dyDescent="0.25">
      <c r="A117" s="397" t="e">
        <f>#REF!</f>
        <v>#REF!</v>
      </c>
      <c r="B117" s="398"/>
      <c r="C117" s="398"/>
      <c r="D117" s="398"/>
      <c r="E117" s="399"/>
    </row>
    <row r="118" spans="1:5" ht="13.8" x14ac:dyDescent="0.25">
      <c r="A118" s="397" t="e">
        <f>#REF!</f>
        <v>#REF!</v>
      </c>
      <c r="B118" s="398"/>
      <c r="C118" s="398"/>
      <c r="D118" s="398"/>
      <c r="E118" s="399"/>
    </row>
    <row r="119" spans="1:5" ht="13.8" x14ac:dyDescent="0.25">
      <c r="A119" s="397" t="e">
        <f>#REF!</f>
        <v>#REF!</v>
      </c>
      <c r="B119" s="398"/>
      <c r="C119" s="398"/>
      <c r="D119" s="398"/>
      <c r="E119" s="399"/>
    </row>
    <row r="120" spans="1:5" ht="13.8" x14ac:dyDescent="0.25">
      <c r="A120" s="397" t="e">
        <f>#REF!</f>
        <v>#REF!</v>
      </c>
      <c r="B120" s="398"/>
      <c r="C120" s="398"/>
      <c r="D120" s="398"/>
      <c r="E120" s="399"/>
    </row>
    <row r="121" spans="1:5" ht="13.8" x14ac:dyDescent="0.25">
      <c r="A121" s="397" t="e">
        <f>#REF!</f>
        <v>#REF!</v>
      </c>
      <c r="B121" s="398"/>
      <c r="C121" s="398"/>
      <c r="D121" s="398"/>
      <c r="E121" s="399"/>
    </row>
    <row r="122" spans="1:5" ht="13.8" x14ac:dyDescent="0.25">
      <c r="A122" s="397" t="e">
        <f>#REF!</f>
        <v>#REF!</v>
      </c>
      <c r="B122" s="398"/>
      <c r="C122" s="398"/>
      <c r="D122" s="398"/>
      <c r="E122" s="399"/>
    </row>
    <row r="123" spans="1:5" ht="13.8" x14ac:dyDescent="0.25">
      <c r="A123" s="397" t="e">
        <f>#REF!</f>
        <v>#REF!</v>
      </c>
      <c r="B123" s="398"/>
      <c r="C123" s="398"/>
      <c r="D123" s="398"/>
      <c r="E123" s="399"/>
    </row>
    <row r="124" spans="1:5" ht="13.8" x14ac:dyDescent="0.25">
      <c r="A124" s="397" t="e">
        <f>#REF!</f>
        <v>#REF!</v>
      </c>
      <c r="B124" s="398"/>
      <c r="C124" s="398"/>
      <c r="D124" s="398"/>
      <c r="E124" s="399"/>
    </row>
    <row r="125" spans="1:5" ht="13.8" x14ac:dyDescent="0.25">
      <c r="A125" s="397" t="e">
        <f>#REF!</f>
        <v>#REF!</v>
      </c>
      <c r="B125" s="398"/>
      <c r="C125" s="398"/>
      <c r="D125" s="398"/>
      <c r="E125" s="399"/>
    </row>
    <row r="126" spans="1:5" ht="13.8" x14ac:dyDescent="0.25">
      <c r="A126" s="397" t="e">
        <f>#REF!</f>
        <v>#REF!</v>
      </c>
      <c r="B126" s="398"/>
      <c r="C126" s="398"/>
      <c r="D126" s="398"/>
      <c r="E126" s="399"/>
    </row>
    <row r="127" spans="1:5" ht="14.4" thickBot="1" x14ac:dyDescent="0.3">
      <c r="A127" s="400"/>
      <c r="B127" s="401"/>
      <c r="C127" s="401"/>
      <c r="D127" s="401"/>
      <c r="E127" s="402"/>
    </row>
  </sheetData>
  <mergeCells count="59">
    <mergeCell ref="C7:C8"/>
    <mergeCell ref="A7:B7"/>
    <mergeCell ref="A6:C6"/>
    <mergeCell ref="A25:C25"/>
    <mergeCell ref="A26:C26"/>
    <mergeCell ref="A32:C32"/>
    <mergeCell ref="A69:C69"/>
    <mergeCell ref="A17:C17"/>
    <mergeCell ref="A40:C40"/>
    <mergeCell ref="B41:C41"/>
    <mergeCell ref="B42:C42"/>
    <mergeCell ref="B43:C43"/>
    <mergeCell ref="B67:C67"/>
    <mergeCell ref="A28:C28"/>
    <mergeCell ref="A29:C29"/>
    <mergeCell ref="C18:C19"/>
    <mergeCell ref="A44:C45"/>
    <mergeCell ref="A55:C56"/>
    <mergeCell ref="A1:C1"/>
    <mergeCell ref="A81:C81"/>
    <mergeCell ref="A82:C82"/>
    <mergeCell ref="A110:C111"/>
    <mergeCell ref="A104:C104"/>
    <mergeCell ref="A109:C109"/>
    <mergeCell ref="A33:C33"/>
    <mergeCell ref="A37:C37"/>
    <mergeCell ref="A36:C36"/>
    <mergeCell ref="A54:C54"/>
    <mergeCell ref="A46:C46"/>
    <mergeCell ref="A57:C57"/>
    <mergeCell ref="A63:C63"/>
    <mergeCell ref="A66:C66"/>
    <mergeCell ref="A72:C72"/>
    <mergeCell ref="A2:C2"/>
    <mergeCell ref="A105:B105"/>
    <mergeCell ref="A106:B106"/>
    <mergeCell ref="A107:B107"/>
    <mergeCell ref="A108:C108"/>
    <mergeCell ref="A114:E114"/>
    <mergeCell ref="A112:C113"/>
    <mergeCell ref="A98:C98"/>
    <mergeCell ref="A91:B91"/>
    <mergeCell ref="A92:B92"/>
    <mergeCell ref="A93:B93"/>
    <mergeCell ref="A94:B94"/>
    <mergeCell ref="A95:B95"/>
    <mergeCell ref="A96:B96"/>
    <mergeCell ref="A97:B97"/>
    <mergeCell ref="A103:C103"/>
    <mergeCell ref="A99:B99"/>
    <mergeCell ref="A100:B100"/>
    <mergeCell ref="A101:B101"/>
    <mergeCell ref="A102:B102"/>
    <mergeCell ref="A90:C90"/>
    <mergeCell ref="A64:C65"/>
    <mergeCell ref="A70:C71"/>
    <mergeCell ref="A80:C80"/>
    <mergeCell ref="A85:C85"/>
    <mergeCell ref="A86:C86"/>
  </mergeCells>
  <hyperlinks>
    <hyperlink ref="A26:B26" location="Overheads!A1" display="Verileri Girmek için TIKLAYIN" xr:uid="{00000000-0004-0000-0100-000000000000}"/>
    <hyperlink ref="A33:B33" location="'Water Supply'!A1" display="Verileri Girmek İçin Tıklayınız" xr:uid="{00000000-0004-0000-0100-000001000000}"/>
    <hyperlink ref="A37:B37" location="'Wastewater Services'!A1" display="Verileri Girmek İçin Tıklayınız" xr:uid="{00000000-0004-0000-0100-000002000000}"/>
    <hyperlink ref="A54:B54" location="'Resource Cost'!A1" display="Verileri Girmek İçin Tıklayınız" xr:uid="{00000000-0004-0000-0100-000003000000}"/>
    <hyperlink ref="A82:B82" location="'Willingness to Pay'!A1" display="Verileri Girmek İçin Tıklayınız" xr:uid="{00000000-0004-0000-0100-000004000000}"/>
    <hyperlink ref="A103" location="'Tariff Calculation'!A1" display="Click to select and set the tariff in order to complete tariff calculation" xr:uid="{00000000-0004-0000-0100-000005000000}"/>
    <hyperlink ref="A110" location="GRAFİKLER!A1" display="Sonuçlara ait grafiksel gösterimler için tıklayınız." xr:uid="{00000000-0004-0000-0100-000006000000}"/>
    <hyperlink ref="A108:C108" location="'Tarife Hesaplama'!D140" display="Kademeli Tarifeleri görmek için Tıklayınız" xr:uid="{00000000-0004-0000-0100-000007000000}"/>
    <hyperlink ref="A69:C69" location="'Tam Maliyet'!A1" display="Hesaplama Tablosunu Görmek İçin Tıklayınız" xr:uid="{00000000-0004-0000-0100-000008000000}"/>
    <hyperlink ref="A80:C80" location="Ödeyebilirlik!A1" display="Hesaplama Tablosunu Görmek İçin Tıklayınız" xr:uid="{00000000-0004-0000-0100-000009000000}"/>
    <hyperlink ref="A63:C63" location="'Çevresel Maliyet'!A1" display="Hesaplama Tablosunu Görmek İçin Tıklayınız" xr:uid="{00000000-0004-0000-0100-00000A000000}"/>
    <hyperlink ref="A26:C26" location="'Genel Maliyetler'!A1" display="Verileri Girmek için Tıklayınız" xr:uid="{00000000-0004-0000-0100-00000B000000}"/>
    <hyperlink ref="A54:C54" location="'Kaynak Maliyeti'!A1" display="Hesaplama tablosunu görmek için tıklayınız" xr:uid="{00000000-0004-0000-0100-00000C000000}"/>
    <hyperlink ref="A33:C33" location="'Su Temini hizmetleri'!A1" display="Verileri Girmek İçin Tıklayınız" xr:uid="{00000000-0004-0000-0100-00000D000000}"/>
    <hyperlink ref="A37:C37" location="'Atıksu Hizmetleri'!A1" display="Verileri Girmek İçin Tıklayınız" xr:uid="{00000000-0004-0000-0100-00000E000000}"/>
    <hyperlink ref="A103:B103" location="'Tarife Hesaplama'!A1" display="Su Tarifesini Hesaplamak İçin Tıklayınız" xr:uid="{00000000-0004-0000-0100-00000F000000}"/>
    <hyperlink ref="A82:C82" location="'Ödeme İstekliliği'!A1" display="Verileri Girmek İçin Tıklayınız" xr:uid="{00000000-0004-0000-0100-000010000000}"/>
    <hyperlink ref="A110:C111" location="Garfikler!A1" display="Sonuçlara ait grafiksel gösterimler için tıklayınız." xr:uid="{00000000-0004-0000-0100-000011000000}"/>
    <hyperlink ref="A29:B29" location="Overheads!A1" display="Verileri Girmek için TIKLAYIN" xr:uid="{00000000-0004-0000-0100-000012000000}"/>
    <hyperlink ref="A29:C29" location="'Su-Atıksu Amortisman Maliyeti'!A1" display="Verileri Girmek için Tıklayınız" xr:uid="{00000000-0004-0000-0100-00001300000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6"/>
  <sheetViews>
    <sheetView showGridLines="0" topLeftCell="A25" zoomScale="93" workbookViewId="0">
      <selection activeCell="A28" sqref="A28"/>
    </sheetView>
  </sheetViews>
  <sheetFormatPr defaultColWidth="8.88671875" defaultRowHeight="13.2" x14ac:dyDescent="0.25"/>
  <cols>
    <col min="1" max="1" width="65.109375" style="68" customWidth="1"/>
    <col min="2" max="2" width="19.33203125" style="68" customWidth="1"/>
    <col min="3" max="3" width="19.6640625" style="68" customWidth="1"/>
    <col min="4" max="5" width="38.44140625" style="68" bestFit="1" customWidth="1"/>
    <col min="6" max="7" width="12.5546875" style="68" customWidth="1"/>
    <col min="8" max="8" width="13.88671875" style="68" customWidth="1"/>
    <col min="9" max="9" width="8.88671875" style="68"/>
    <col min="10" max="10" width="9.109375" style="68" bestFit="1" customWidth="1"/>
    <col min="11" max="11" width="8.88671875" style="68"/>
    <col min="12" max="12" width="9.109375" style="68" bestFit="1" customWidth="1"/>
    <col min="13" max="16384" width="8.88671875" style="68"/>
  </cols>
  <sheetData>
    <row r="1" spans="1:8" ht="25.5" customHeight="1" thickBot="1" x14ac:dyDescent="0.3">
      <c r="A1" s="579" t="s">
        <v>198</v>
      </c>
      <c r="B1" s="580"/>
      <c r="C1" s="581"/>
      <c r="D1" s="218"/>
      <c r="E1" s="218"/>
      <c r="F1" s="219"/>
      <c r="G1" s="219"/>
      <c r="H1" s="219"/>
    </row>
    <row r="2" spans="1:8" ht="42" thickBot="1" x14ac:dyDescent="0.3">
      <c r="A2" s="245" t="s">
        <v>1</v>
      </c>
      <c r="B2" s="243" t="s">
        <v>333</v>
      </c>
      <c r="C2" s="244" t="s">
        <v>322</v>
      </c>
      <c r="D2" s="220"/>
      <c r="E2" s="220"/>
      <c r="F2" s="221"/>
      <c r="G2" s="221"/>
      <c r="H2" s="221"/>
    </row>
    <row r="3" spans="1:8" ht="14.4" thickBot="1" x14ac:dyDescent="0.3">
      <c r="A3" s="214" t="s">
        <v>154</v>
      </c>
      <c r="B3" s="215">
        <v>70343594.640000001</v>
      </c>
      <c r="C3" s="216">
        <f>' Veri Girişi ve Sonuç Tablosu'!B19</f>
        <v>7064696.1799999997</v>
      </c>
      <c r="D3" s="162" t="s">
        <v>133</v>
      </c>
      <c r="E3" s="220"/>
      <c r="F3" s="221"/>
      <c r="G3" s="221"/>
      <c r="H3" s="221"/>
    </row>
    <row r="4" spans="1:8" x14ac:dyDescent="0.25">
      <c r="A4" s="231" t="s">
        <v>2</v>
      </c>
      <c r="B4" s="232">
        <v>19525723.530000001</v>
      </c>
      <c r="C4" s="233">
        <f>B4*(C3/B3)</f>
        <v>1960993.110177048</v>
      </c>
      <c r="D4" s="162" t="s">
        <v>133</v>
      </c>
      <c r="E4" s="222"/>
      <c r="F4" s="223"/>
      <c r="G4" s="223"/>
      <c r="H4" s="223"/>
    </row>
    <row r="5" spans="1:8" x14ac:dyDescent="0.25">
      <c r="A5" s="234" t="s">
        <v>2</v>
      </c>
      <c r="B5" s="235">
        <v>16796241.609999999</v>
      </c>
      <c r="C5" s="236">
        <f>B5*(C3/B3)</f>
        <v>1686867.7887133355</v>
      </c>
      <c r="D5" s="162" t="s">
        <v>133</v>
      </c>
      <c r="E5" s="222"/>
      <c r="F5" s="223"/>
      <c r="G5" s="223"/>
      <c r="H5" s="223"/>
    </row>
    <row r="6" spans="1:8" ht="13.8" thickBot="1" x14ac:dyDescent="0.3">
      <c r="A6" s="237" t="s">
        <v>3</v>
      </c>
      <c r="B6" s="238">
        <v>2729481.9200000004</v>
      </c>
      <c r="C6" s="239">
        <f>B6*(C3/B3)</f>
        <v>274125.32146371226</v>
      </c>
      <c r="D6" s="162" t="s">
        <v>133</v>
      </c>
      <c r="E6" s="222"/>
      <c r="F6" s="223"/>
      <c r="G6" s="223"/>
      <c r="H6" s="223"/>
    </row>
    <row r="7" spans="1:8" x14ac:dyDescent="0.25">
      <c r="A7" s="240" t="s">
        <v>4</v>
      </c>
      <c r="B7" s="232">
        <v>2259453.31</v>
      </c>
      <c r="C7" s="233">
        <f>B7*(C3/B3)</f>
        <v>226919.75367105516</v>
      </c>
      <c r="D7" s="162" t="s">
        <v>133</v>
      </c>
      <c r="E7" s="222"/>
      <c r="F7" s="222"/>
      <c r="G7" s="222"/>
      <c r="H7" s="222"/>
    </row>
    <row r="8" spans="1:8" x14ac:dyDescent="0.25">
      <c r="A8" s="241" t="s">
        <v>310</v>
      </c>
      <c r="B8" s="235">
        <v>525567</v>
      </c>
      <c r="C8" s="236">
        <f>B8*(C3/B3)</f>
        <v>52783.358545096664</v>
      </c>
      <c r="D8" s="162" t="s">
        <v>133</v>
      </c>
      <c r="E8" s="222"/>
      <c r="F8" s="223"/>
      <c r="G8" s="223"/>
      <c r="H8" s="223"/>
    </row>
    <row r="9" spans="1:8" ht="13.8" thickBot="1" x14ac:dyDescent="0.3">
      <c r="A9" s="242" t="s">
        <v>143</v>
      </c>
      <c r="B9" s="238">
        <v>1733886.31</v>
      </c>
      <c r="C9" s="239">
        <f>B9*(C3/B3)</f>
        <v>174136.39512595849</v>
      </c>
      <c r="D9" s="162" t="s">
        <v>133</v>
      </c>
      <c r="E9" s="222"/>
      <c r="F9" s="223"/>
      <c r="G9" s="223"/>
      <c r="H9" s="223"/>
    </row>
    <row r="10" spans="1:8" ht="13.8" thickBot="1" x14ac:dyDescent="0.3">
      <c r="A10" s="264" t="s">
        <v>5</v>
      </c>
      <c r="B10" s="265">
        <v>104567.39</v>
      </c>
      <c r="C10" s="266">
        <f>B10*(C3/B3)</f>
        <v>10501.83523412801</v>
      </c>
      <c r="D10" s="162" t="s">
        <v>133</v>
      </c>
      <c r="E10" s="222"/>
      <c r="F10" s="223"/>
      <c r="G10" s="223"/>
      <c r="H10" s="223"/>
    </row>
    <row r="11" spans="1:8" x14ac:dyDescent="0.25">
      <c r="A11" s="231" t="s">
        <v>6</v>
      </c>
      <c r="B11" s="232">
        <v>198005</v>
      </c>
      <c r="C11" s="233">
        <f>B11*(C3/B3)</f>
        <v>19885.892585953581</v>
      </c>
      <c r="D11" s="162" t="s">
        <v>133</v>
      </c>
      <c r="E11" s="222"/>
      <c r="F11" s="223"/>
      <c r="G11" s="223"/>
      <c r="H11" s="223"/>
    </row>
    <row r="12" spans="1:8" ht="13.8" thickBot="1" x14ac:dyDescent="0.3">
      <c r="A12" s="237" t="s">
        <v>7</v>
      </c>
      <c r="B12" s="238">
        <v>27971.84</v>
      </c>
      <c r="C12" s="239">
        <f>B12*(C3/B3)</f>
        <v>2809.2472698743959</v>
      </c>
      <c r="D12" s="162" t="s">
        <v>133</v>
      </c>
      <c r="E12" s="222"/>
      <c r="F12" s="223"/>
      <c r="G12" s="223"/>
      <c r="H12" s="223"/>
    </row>
    <row r="13" spans="1:8" ht="13.8" thickBot="1" x14ac:dyDescent="0.3">
      <c r="A13" s="264" t="s">
        <v>8</v>
      </c>
      <c r="B13" s="265">
        <v>1542933.32</v>
      </c>
      <c r="C13" s="266">
        <f>B13*(C3/B3)</f>
        <v>154958.74482365971</v>
      </c>
      <c r="D13" s="162" t="s">
        <v>133</v>
      </c>
      <c r="E13" s="222"/>
      <c r="F13" s="223"/>
      <c r="G13" s="223"/>
      <c r="H13" s="223"/>
    </row>
    <row r="14" spans="1:8" x14ac:dyDescent="0.25">
      <c r="A14" s="240" t="s">
        <v>148</v>
      </c>
      <c r="B14" s="232">
        <v>2134568</v>
      </c>
      <c r="C14" s="233">
        <f>B14*(C3/B3)</f>
        <v>214377.36403330098</v>
      </c>
      <c r="D14" s="162" t="s">
        <v>133</v>
      </c>
      <c r="E14" s="222"/>
      <c r="F14" s="223"/>
      <c r="G14" s="223"/>
      <c r="H14" s="223"/>
    </row>
    <row r="15" spans="1:8" x14ac:dyDescent="0.25">
      <c r="A15" s="241" t="s">
        <v>310</v>
      </c>
      <c r="B15" s="235">
        <v>356789</v>
      </c>
      <c r="C15" s="236">
        <f>B15*(C3/B3)</f>
        <v>35832.770535338968</v>
      </c>
      <c r="D15" s="162" t="s">
        <v>133</v>
      </c>
      <c r="E15" s="222"/>
      <c r="F15" s="223"/>
      <c r="G15" s="223"/>
      <c r="H15" s="223"/>
    </row>
    <row r="16" spans="1:8" ht="13.8" thickBot="1" x14ac:dyDescent="0.3">
      <c r="A16" s="242" t="s">
        <v>9</v>
      </c>
      <c r="B16" s="238">
        <v>1779777</v>
      </c>
      <c r="C16" s="239">
        <f>B16*(C3/B3)</f>
        <v>178745.25516502463</v>
      </c>
      <c r="D16" s="162" t="s">
        <v>133</v>
      </c>
      <c r="E16" s="222"/>
      <c r="F16" s="223"/>
      <c r="G16" s="223"/>
      <c r="H16" s="223"/>
    </row>
    <row r="17" spans="1:8" ht="13.8" thickBot="1" x14ac:dyDescent="0.3">
      <c r="A17" s="264" t="s">
        <v>10</v>
      </c>
      <c r="B17" s="265">
        <v>1567895</v>
      </c>
      <c r="C17" s="266">
        <f>B17*(C3/B3)</f>
        <v>157465.67791749546</v>
      </c>
      <c r="D17" s="162" t="s">
        <v>133</v>
      </c>
      <c r="E17" s="222"/>
      <c r="F17" s="223"/>
      <c r="G17" s="223"/>
      <c r="H17" s="223"/>
    </row>
    <row r="18" spans="1:8" ht="13.8" thickBot="1" x14ac:dyDescent="0.3">
      <c r="A18" s="264" t="s">
        <v>146</v>
      </c>
      <c r="B18" s="265">
        <v>1345673</v>
      </c>
      <c r="C18" s="266">
        <f>B18*(C3/B3)</f>
        <v>135147.6413919745</v>
      </c>
      <c r="D18" s="162" t="s">
        <v>133</v>
      </c>
      <c r="E18" s="222"/>
      <c r="F18" s="223"/>
      <c r="G18" s="223"/>
      <c r="H18" s="223"/>
    </row>
    <row r="19" spans="1:8" ht="13.8" thickBot="1" x14ac:dyDescent="0.3">
      <c r="A19" s="264" t="s">
        <v>11</v>
      </c>
      <c r="B19" s="265">
        <v>83650.710000000006</v>
      </c>
      <c r="C19" s="266">
        <f>B19*(C3/B3)</f>
        <v>8401.1466063925309</v>
      </c>
      <c r="D19" s="162" t="s">
        <v>133</v>
      </c>
      <c r="E19" s="222"/>
      <c r="F19" s="223"/>
      <c r="G19" s="223"/>
      <c r="H19" s="223"/>
    </row>
    <row r="20" spans="1:8" ht="13.8" thickBot="1" x14ac:dyDescent="0.3">
      <c r="A20" s="264" t="s">
        <v>12</v>
      </c>
      <c r="B20" s="265">
        <v>565456</v>
      </c>
      <c r="C20" s="266">
        <f>B20*(C3/B3)</f>
        <v>56789.461266548664</v>
      </c>
      <c r="D20" s="162" t="s">
        <v>133</v>
      </c>
      <c r="E20" s="222"/>
      <c r="F20" s="223"/>
      <c r="G20" s="223"/>
      <c r="H20" s="223"/>
    </row>
    <row r="21" spans="1:8" x14ac:dyDescent="0.25">
      <c r="A21" s="231" t="s">
        <v>149</v>
      </c>
      <c r="B21" s="232">
        <v>2202026.02</v>
      </c>
      <c r="C21" s="233">
        <f>B21*(C3/B3)</f>
        <v>221152.25830254221</v>
      </c>
      <c r="D21" s="162" t="s">
        <v>133</v>
      </c>
      <c r="E21" s="222"/>
      <c r="F21" s="223"/>
      <c r="G21" s="223"/>
      <c r="H21" s="223"/>
    </row>
    <row r="22" spans="1:8" x14ac:dyDescent="0.25">
      <c r="A22" s="234" t="s">
        <v>321</v>
      </c>
      <c r="B22" s="235">
        <v>404567</v>
      </c>
      <c r="C22" s="236">
        <f>B22*(C3/B3)</f>
        <v>40631.175504767467</v>
      </c>
      <c r="D22" s="162" t="s">
        <v>133</v>
      </c>
      <c r="E22" s="222"/>
      <c r="F22" s="223"/>
      <c r="G22" s="223"/>
      <c r="H22" s="223"/>
    </row>
    <row r="23" spans="1:8" x14ac:dyDescent="0.25">
      <c r="A23" s="234" t="s">
        <v>147</v>
      </c>
      <c r="B23" s="235">
        <v>1436789</v>
      </c>
      <c r="C23" s="236">
        <f>B23*(C3/B3)</f>
        <v>144298.53651513677</v>
      </c>
      <c r="D23" s="162" t="s">
        <v>133</v>
      </c>
      <c r="E23" s="222"/>
      <c r="F23" s="223"/>
      <c r="G23" s="223"/>
      <c r="H23" s="223"/>
    </row>
    <row r="24" spans="1:8" x14ac:dyDescent="0.25">
      <c r="A24" s="234" t="s">
        <v>13</v>
      </c>
      <c r="B24" s="235">
        <v>105678</v>
      </c>
      <c r="C24" s="236">
        <f>B24*(C3/B3)</f>
        <v>10613.375201123215</v>
      </c>
      <c r="D24" s="162" t="s">
        <v>133</v>
      </c>
      <c r="E24" s="222"/>
      <c r="F24" s="223"/>
      <c r="G24" s="223"/>
      <c r="H24" s="223"/>
    </row>
    <row r="25" spans="1:8" x14ac:dyDescent="0.25">
      <c r="A25" s="267" t="s">
        <v>150</v>
      </c>
      <c r="B25" s="235">
        <v>18021</v>
      </c>
      <c r="C25" s="236">
        <f>B25*(C3/B3)</f>
        <v>1809.8718228906819</v>
      </c>
      <c r="D25" s="162" t="s">
        <v>133</v>
      </c>
      <c r="E25" s="222"/>
      <c r="F25" s="223"/>
      <c r="G25" s="223"/>
      <c r="H25" s="223"/>
    </row>
    <row r="26" spans="1:8" ht="13.8" thickBot="1" x14ac:dyDescent="0.3">
      <c r="A26" s="237" t="s">
        <v>14</v>
      </c>
      <c r="B26" s="238">
        <v>234567</v>
      </c>
      <c r="C26" s="239">
        <f>B26*(C3/B3)</f>
        <v>23557.86048942892</v>
      </c>
      <c r="D26" s="162" t="s">
        <v>133</v>
      </c>
      <c r="E26" s="222"/>
      <c r="F26" s="223"/>
      <c r="G26" s="223"/>
      <c r="H26" s="223"/>
    </row>
    <row r="27" spans="1:8" x14ac:dyDescent="0.25">
      <c r="A27" s="231" t="s">
        <v>15</v>
      </c>
      <c r="B27" s="232">
        <v>833774.24</v>
      </c>
      <c r="C27" s="233">
        <f>B27*(C3/B3)</f>
        <v>83737.001477614613</v>
      </c>
      <c r="D27" s="162" t="s">
        <v>133</v>
      </c>
      <c r="E27" s="222"/>
      <c r="F27" s="223"/>
      <c r="G27" s="223"/>
      <c r="H27" s="223"/>
    </row>
    <row r="28" spans="1:8" x14ac:dyDescent="0.25">
      <c r="A28" s="234" t="s">
        <v>16</v>
      </c>
      <c r="B28" s="268">
        <v>811495.36</v>
      </c>
      <c r="C28" s="269">
        <f>B28*(C3/B3)</f>
        <v>81499.505380973875</v>
      </c>
      <c r="D28" s="162" t="s">
        <v>133</v>
      </c>
      <c r="E28" s="222"/>
      <c r="F28" s="223"/>
      <c r="G28" s="223"/>
      <c r="H28" s="223"/>
    </row>
    <row r="29" spans="1:8" ht="13.8" thickBot="1" x14ac:dyDescent="0.3">
      <c r="A29" s="237" t="s">
        <v>17</v>
      </c>
      <c r="B29" s="270">
        <v>22278.880000000001</v>
      </c>
      <c r="C29" s="271">
        <f>B29*(C3/B3)</f>
        <v>2237.4960966407389</v>
      </c>
      <c r="D29" s="162" t="s">
        <v>133</v>
      </c>
      <c r="E29" s="222"/>
      <c r="F29" s="223"/>
      <c r="G29" s="223"/>
      <c r="H29" s="223"/>
    </row>
    <row r="30" spans="1:8" x14ac:dyDescent="0.25">
      <c r="A30" s="231" t="s">
        <v>18</v>
      </c>
      <c r="B30" s="232">
        <v>1667393.93</v>
      </c>
      <c r="C30" s="233">
        <f>B30*(C3/B3)</f>
        <v>167458.48130325499</v>
      </c>
      <c r="D30" s="162" t="s">
        <v>133</v>
      </c>
      <c r="E30" s="222"/>
      <c r="F30" s="223"/>
      <c r="G30" s="223"/>
      <c r="H30" s="223"/>
    </row>
    <row r="31" spans="1:8" x14ac:dyDescent="0.25">
      <c r="A31" s="234" t="s">
        <v>19</v>
      </c>
      <c r="B31" s="268">
        <v>103678</v>
      </c>
      <c r="C31" s="269">
        <f>B31*(C3/B3)</f>
        <v>10412.512671530998</v>
      </c>
      <c r="D31" s="162" t="s">
        <v>133</v>
      </c>
      <c r="E31" s="222"/>
      <c r="F31" s="223"/>
      <c r="G31" s="223"/>
      <c r="H31" s="223"/>
    </row>
    <row r="32" spans="1:8" x14ac:dyDescent="0.25">
      <c r="A32" s="272" t="s">
        <v>20</v>
      </c>
      <c r="B32" s="268">
        <v>1032165.38</v>
      </c>
      <c r="C32" s="269">
        <f>B32*(C3/B3)</f>
        <v>103661.67459215656</v>
      </c>
      <c r="D32" s="162" t="s">
        <v>133</v>
      </c>
      <c r="E32" s="222"/>
      <c r="F32" s="223"/>
      <c r="G32" s="223"/>
      <c r="H32" s="223"/>
    </row>
    <row r="33" spans="1:8" x14ac:dyDescent="0.25">
      <c r="A33" s="234" t="s">
        <v>21</v>
      </c>
      <c r="B33" s="268">
        <v>276845</v>
      </c>
      <c r="C33" s="269">
        <f>B33*(C3/B3)</f>
        <v>27803.893502478819</v>
      </c>
      <c r="D33" s="162" t="s">
        <v>133</v>
      </c>
      <c r="E33" s="222"/>
      <c r="F33" s="223"/>
      <c r="G33" s="223"/>
      <c r="H33" s="223"/>
    </row>
    <row r="34" spans="1:8" ht="13.8" thickBot="1" x14ac:dyDescent="0.3">
      <c r="A34" s="237" t="s">
        <v>22</v>
      </c>
      <c r="B34" s="270">
        <v>254705.55</v>
      </c>
      <c r="C34" s="271">
        <f>B34*(C3/B3)</f>
        <v>25580.400537088601</v>
      </c>
      <c r="D34" s="162" t="s">
        <v>133</v>
      </c>
      <c r="E34" s="222"/>
      <c r="F34" s="223"/>
      <c r="G34" s="223"/>
      <c r="H34" s="223"/>
    </row>
    <row r="35" spans="1:8" x14ac:dyDescent="0.25">
      <c r="A35" s="273" t="s">
        <v>144</v>
      </c>
      <c r="B35" s="288">
        <v>1717615.61</v>
      </c>
      <c r="C35" s="233">
        <f>B35*(C3/B3)</f>
        <v>172502.30814584045</v>
      </c>
      <c r="D35" s="162" t="s">
        <v>133</v>
      </c>
      <c r="E35" s="222"/>
      <c r="F35" s="223"/>
      <c r="G35" s="223"/>
      <c r="H35" s="223"/>
    </row>
    <row r="36" spans="1:8" x14ac:dyDescent="0.25">
      <c r="A36" s="241" t="s">
        <v>311</v>
      </c>
      <c r="B36" s="235">
        <v>201386</v>
      </c>
      <c r="C36" s="236">
        <f>B36*(C3/B3)</f>
        <v>20225.450692229224</v>
      </c>
      <c r="D36" s="162" t="s">
        <v>133</v>
      </c>
      <c r="E36" s="222"/>
      <c r="F36" s="223"/>
      <c r="G36" s="223"/>
      <c r="H36" s="223"/>
    </row>
    <row r="37" spans="1:8" x14ac:dyDescent="0.25">
      <c r="A37" s="241" t="s">
        <v>141</v>
      </c>
      <c r="B37" s="235">
        <v>500200</v>
      </c>
      <c r="C37" s="236">
        <f>B37*(C3/B3)</f>
        <v>50235.718651013769</v>
      </c>
      <c r="D37" s="162" t="s">
        <v>133</v>
      </c>
      <c r="E37" s="222"/>
      <c r="F37" s="223"/>
      <c r="G37" s="223"/>
      <c r="H37" s="223"/>
    </row>
    <row r="38" spans="1:8" ht="13.8" thickBot="1" x14ac:dyDescent="0.3">
      <c r="A38" s="274" t="s">
        <v>23</v>
      </c>
      <c r="B38" s="238">
        <v>1217415.6100000001</v>
      </c>
      <c r="C38" s="239">
        <f>B38*(C3/B3)</f>
        <v>122266.58949482668</v>
      </c>
      <c r="D38" s="162" t="s">
        <v>133</v>
      </c>
      <c r="E38" s="222"/>
      <c r="F38" s="223"/>
      <c r="G38" s="223"/>
      <c r="H38" s="223"/>
    </row>
    <row r="39" spans="1:8" ht="13.8" thickBot="1" x14ac:dyDescent="0.3">
      <c r="A39" s="264" t="s">
        <v>145</v>
      </c>
      <c r="B39" s="265">
        <v>1545452</v>
      </c>
      <c r="C39" s="266">
        <f>B39*(C3/B3)</f>
        <v>155211.69904167639</v>
      </c>
      <c r="D39" s="162" t="s">
        <v>133</v>
      </c>
      <c r="E39" s="222"/>
      <c r="F39" s="223"/>
      <c r="G39" s="223"/>
      <c r="H39" s="223"/>
    </row>
    <row r="40" spans="1:8" ht="13.8" thickBot="1" x14ac:dyDescent="0.3">
      <c r="A40" s="264" t="s">
        <v>24</v>
      </c>
      <c r="B40" s="265">
        <v>2155466.7599999998</v>
      </c>
      <c r="C40" s="266">
        <f>B40*(C3/B3)</f>
        <v>216476.25293277128</v>
      </c>
      <c r="D40" s="162" t="s">
        <v>133</v>
      </c>
      <c r="E40" s="222"/>
      <c r="F40" s="223"/>
      <c r="G40" s="223"/>
      <c r="H40" s="223"/>
    </row>
    <row r="41" spans="1:8" ht="13.8" thickBot="1" x14ac:dyDescent="0.3">
      <c r="A41" s="264" t="s">
        <v>142</v>
      </c>
      <c r="B41" s="265">
        <v>129876</v>
      </c>
      <c r="C41" s="266">
        <f>B41*(C3/B3)</f>
        <v>13043.610946659464</v>
      </c>
      <c r="D41" s="162" t="s">
        <v>133</v>
      </c>
      <c r="E41" s="222"/>
      <c r="F41" s="223"/>
      <c r="G41" s="223"/>
      <c r="H41" s="223"/>
    </row>
    <row r="42" spans="1:8" ht="13.8" thickBot="1" x14ac:dyDescent="0.3">
      <c r="A42" s="275" t="s">
        <v>357</v>
      </c>
      <c r="B42" s="265">
        <v>3875698</v>
      </c>
      <c r="C42" s="266">
        <f>B42*(C3/B3)</f>
        <v>389241.25210775039</v>
      </c>
      <c r="D42" s="162" t="s">
        <v>133</v>
      </c>
      <c r="E42" s="222"/>
      <c r="F42" s="223"/>
      <c r="G42" s="223"/>
      <c r="H42" s="223"/>
    </row>
    <row r="43" spans="1:8" ht="13.8" thickBot="1" x14ac:dyDescent="0.3">
      <c r="A43" s="432" t="s">
        <v>327</v>
      </c>
      <c r="B43" s="265"/>
      <c r="C43" s="266"/>
      <c r="D43" s="162" t="s">
        <v>133</v>
      </c>
      <c r="E43" s="222"/>
      <c r="F43" s="223"/>
      <c r="G43" s="223"/>
      <c r="H43" s="223"/>
    </row>
    <row r="44" spans="1:8" ht="13.8" thickBot="1" x14ac:dyDescent="0.3">
      <c r="A44" s="432" t="s">
        <v>328</v>
      </c>
      <c r="B44" s="265"/>
      <c r="C44" s="266"/>
      <c r="D44" s="162" t="s">
        <v>133</v>
      </c>
      <c r="E44" s="222"/>
      <c r="F44" s="223"/>
      <c r="G44" s="223"/>
      <c r="H44" s="223"/>
    </row>
    <row r="45" spans="1:8" ht="15" thickBot="1" x14ac:dyDescent="0.35">
      <c r="A45" s="276" t="s">
        <v>40</v>
      </c>
      <c r="B45" s="289">
        <f>SUM(B42+B41+B40+B39+B35+B30+B27+B21+B20+B19+B18+B17+B14+B13+B11+B10+B7+B4)+B43+B44</f>
        <v>43455227.82</v>
      </c>
      <c r="C45" s="277">
        <f>SUM(C39+C40+C41+C35+C30+C27+C21+C20+C19+C18+C17+C14+C13+C11+C10+C7+C4+C42+C43+C44)</f>
        <v>4364263.4919656664</v>
      </c>
      <c r="F45" s="224"/>
      <c r="G45" s="224"/>
      <c r="H45" s="224"/>
    </row>
    <row r="46" spans="1:8" ht="15.6" thickBot="1" x14ac:dyDescent="0.3">
      <c r="A46" s="582" t="s">
        <v>332</v>
      </c>
      <c r="B46" s="583"/>
      <c r="C46" s="584"/>
    </row>
    <row r="48" spans="1:8" ht="13.8" thickBot="1" x14ac:dyDescent="0.3"/>
    <row r="49" spans="1:8" ht="26.25" customHeight="1" thickBot="1" x14ac:dyDescent="0.5">
      <c r="A49" s="280" t="s">
        <v>153</v>
      </c>
      <c r="B49" s="281" t="s">
        <v>25</v>
      </c>
      <c r="C49" s="281" t="s">
        <v>26</v>
      </c>
      <c r="D49" s="282" t="s">
        <v>199</v>
      </c>
      <c r="F49" s="225"/>
      <c r="G49" s="225"/>
      <c r="H49" s="226"/>
    </row>
    <row r="50" spans="1:8" ht="24" x14ac:dyDescent="0.35">
      <c r="A50" s="283" t="s">
        <v>151</v>
      </c>
      <c r="B50" s="284">
        <f>'Su Temini hizmetleri'!C11+'Su Temini hizmetleri'!C12+'Su Temini hizmetleri'!C16+'Su Temini hizmetleri'!C20+'Su Temini hizmetleri'!C27+'Su Temini hizmetleri'!C28</f>
        <v>1106111.7968502936</v>
      </c>
      <c r="C50" s="278">
        <f>B50/(B50+B51)</f>
        <v>0.52160969637086585</v>
      </c>
      <c r="D50" s="279">
        <f>C45*C50</f>
        <v>2276442.1549266661</v>
      </c>
      <c r="E50" s="227"/>
      <c r="F50" s="228"/>
      <c r="G50" s="228"/>
    </row>
    <row r="51" spans="1:8" ht="24.6" thickBot="1" x14ac:dyDescent="0.4">
      <c r="A51" s="285" t="s">
        <v>152</v>
      </c>
      <c r="B51" s="286">
        <f>'Atıksu Hizmetleri'!C15+'Atıksu Hizmetleri'!C16+'Atıksu Hizmetleri'!C19+'Atıksu Hizmetleri'!C23+'Atıksu Hizmetleri'!C30+'Atıksu Hizmetleri'!C31</f>
        <v>1014461.8898471356</v>
      </c>
      <c r="C51" s="229">
        <f>B51/(B50+B51)</f>
        <v>0.47839030362913421</v>
      </c>
      <c r="D51" s="230">
        <f>C45*C51</f>
        <v>2087821.3370390006</v>
      </c>
      <c r="E51" s="227"/>
      <c r="F51" s="228"/>
      <c r="G51" s="228"/>
    </row>
    <row r="54" spans="1:8" ht="13.8" thickBot="1" x14ac:dyDescent="0.3"/>
    <row r="55" spans="1:8" ht="21.9" customHeight="1" thickBot="1" x14ac:dyDescent="0.35">
      <c r="A55" s="330" t="s">
        <v>139</v>
      </c>
    </row>
    <row r="83" ht="12.9" customHeight="1" x14ac:dyDescent="0.25"/>
    <row r="84" ht="14.1" customHeight="1" x14ac:dyDescent="0.25"/>
    <row r="85" ht="12.75" customHeight="1" x14ac:dyDescent="0.25"/>
    <row r="86" ht="12.9" customHeight="1" x14ac:dyDescent="0.25"/>
  </sheetData>
  <mergeCells count="2">
    <mergeCell ref="A1:C1"/>
    <mergeCell ref="A46:C46"/>
  </mergeCells>
  <hyperlinks>
    <hyperlink ref="A55" location="' Veri Girişi ve Sonuç Tablosu'!A23" display="VERİ GİRİŞİ YAPILDIYSA GERİ DÖNMEK İÇİN TIKLAYINIZ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6"/>
  <sheetViews>
    <sheetView showGridLines="0" topLeftCell="A28" workbookViewId="0">
      <selection activeCell="F20" sqref="F20"/>
    </sheetView>
  </sheetViews>
  <sheetFormatPr defaultColWidth="8.88671875" defaultRowHeight="13.2" x14ac:dyDescent="0.25"/>
  <cols>
    <col min="2" max="2" width="45.88671875" bestFit="1" customWidth="1"/>
    <col min="3" max="3" width="16.44140625" customWidth="1"/>
    <col min="4" max="4" width="15.5546875" customWidth="1"/>
    <col min="6" max="6" width="9.5546875" customWidth="1"/>
    <col min="7" max="7" width="14.88671875" customWidth="1"/>
    <col min="8" max="8" width="16" customWidth="1"/>
    <col min="9" max="9" width="13.88671875" customWidth="1"/>
    <col min="10" max="10" width="8.88671875" style="217"/>
  </cols>
  <sheetData>
    <row r="1" spans="1:10" x14ac:dyDescent="0.25">
      <c r="A1" s="609" t="s">
        <v>158</v>
      </c>
      <c r="B1" s="610"/>
      <c r="C1" s="610"/>
      <c r="D1" s="610"/>
      <c r="E1" s="610"/>
      <c r="F1" s="610"/>
      <c r="G1" s="587" t="s">
        <v>292</v>
      </c>
      <c r="H1" s="588"/>
      <c r="I1" s="589"/>
    </row>
    <row r="2" spans="1:10" ht="13.5" customHeight="1" thickBot="1" x14ac:dyDescent="0.3">
      <c r="A2" s="611"/>
      <c r="B2" s="612"/>
      <c r="C2" s="612"/>
      <c r="D2" s="612"/>
      <c r="E2" s="612"/>
      <c r="F2" s="612"/>
      <c r="G2" s="613"/>
      <c r="H2" s="614"/>
      <c r="I2" s="615"/>
    </row>
    <row r="3" spans="1:10" ht="55.2" x14ac:dyDescent="0.25">
      <c r="A3" s="106" t="s">
        <v>298</v>
      </c>
      <c r="B3" s="107" t="s">
        <v>297</v>
      </c>
      <c r="C3" s="108" t="s">
        <v>293</v>
      </c>
      <c r="D3" s="108" t="s">
        <v>294</v>
      </c>
      <c r="E3" s="107" t="s">
        <v>295</v>
      </c>
      <c r="F3" s="107" t="s">
        <v>296</v>
      </c>
      <c r="G3" s="109" t="s">
        <v>0</v>
      </c>
      <c r="H3" s="109" t="s">
        <v>312</v>
      </c>
      <c r="I3" s="110" t="s">
        <v>42</v>
      </c>
    </row>
    <row r="4" spans="1:10" x14ac:dyDescent="0.25">
      <c r="A4" s="111">
        <v>1</v>
      </c>
      <c r="B4" s="246" t="s">
        <v>299</v>
      </c>
      <c r="C4" s="99">
        <v>37084.674951608475</v>
      </c>
      <c r="D4" s="99">
        <v>567893</v>
      </c>
      <c r="E4" s="97">
        <v>10</v>
      </c>
      <c r="F4" s="100">
        <f t="shared" ref="F4:F9" si="0">1/E4</f>
        <v>0.1</v>
      </c>
      <c r="G4" s="101">
        <f t="shared" ref="G4:G29" si="1">+F4*D4</f>
        <v>56789.3</v>
      </c>
      <c r="H4" s="101">
        <f t="shared" ref="H4:H30" si="2">+G4/2</f>
        <v>28394.65</v>
      </c>
      <c r="I4" s="112">
        <f t="shared" ref="I4:I30" si="3">+G4-H4</f>
        <v>28394.65</v>
      </c>
      <c r="J4" s="369" t="s">
        <v>133</v>
      </c>
    </row>
    <row r="5" spans="1:10" x14ac:dyDescent="0.25">
      <c r="A5" s="111">
        <v>3</v>
      </c>
      <c r="B5" s="246" t="s">
        <v>300</v>
      </c>
      <c r="C5" s="99">
        <v>155408.2558810132</v>
      </c>
      <c r="D5" s="99">
        <f t="shared" ref="D5:D30" si="4">+C5*A5</f>
        <v>466224.76764303958</v>
      </c>
      <c r="E5" s="97">
        <v>10</v>
      </c>
      <c r="F5" s="100">
        <f t="shared" si="0"/>
        <v>0.1</v>
      </c>
      <c r="G5" s="101">
        <f t="shared" si="1"/>
        <v>46622.476764303959</v>
      </c>
      <c r="H5" s="101">
        <f t="shared" si="2"/>
        <v>23311.23838215198</v>
      </c>
      <c r="I5" s="112">
        <f t="shared" si="3"/>
        <v>23311.23838215198</v>
      </c>
      <c r="J5" s="368" t="s">
        <v>133</v>
      </c>
    </row>
    <row r="6" spans="1:10" x14ac:dyDescent="0.25">
      <c r="A6" s="111">
        <v>3</v>
      </c>
      <c r="B6" s="246" t="s">
        <v>43</v>
      </c>
      <c r="C6" s="99">
        <v>23837.203046121045</v>
      </c>
      <c r="D6" s="99">
        <f t="shared" si="4"/>
        <v>71511.609138363128</v>
      </c>
      <c r="E6" s="97">
        <v>10</v>
      </c>
      <c r="F6" s="100">
        <f t="shared" si="0"/>
        <v>0.1</v>
      </c>
      <c r="G6" s="101">
        <f t="shared" si="1"/>
        <v>7151.1609138363128</v>
      </c>
      <c r="H6" s="101">
        <f t="shared" si="2"/>
        <v>3575.5804569181564</v>
      </c>
      <c r="I6" s="112">
        <f t="shared" si="3"/>
        <v>3575.5804569181564</v>
      </c>
      <c r="J6" s="368" t="s">
        <v>133</v>
      </c>
    </row>
    <row r="7" spans="1:10" x14ac:dyDescent="0.25">
      <c r="A7" s="111">
        <v>3</v>
      </c>
      <c r="B7" s="98" t="s">
        <v>44</v>
      </c>
      <c r="C7" s="99">
        <v>4180.8248235241444</v>
      </c>
      <c r="D7" s="99">
        <f t="shared" si="4"/>
        <v>12542.474470572433</v>
      </c>
      <c r="E7" s="97">
        <v>20</v>
      </c>
      <c r="F7" s="100">
        <f t="shared" si="0"/>
        <v>0.05</v>
      </c>
      <c r="G7" s="101">
        <f t="shared" si="1"/>
        <v>627.12372352862167</v>
      </c>
      <c r="H7" s="101">
        <f t="shared" si="2"/>
        <v>313.56186176431083</v>
      </c>
      <c r="I7" s="112">
        <f t="shared" si="3"/>
        <v>313.56186176431083</v>
      </c>
      <c r="J7" s="368" t="s">
        <v>133</v>
      </c>
    </row>
    <row r="8" spans="1:10" x14ac:dyDescent="0.25">
      <c r="A8" s="111">
        <v>2</v>
      </c>
      <c r="B8" s="98" t="s">
        <v>45</v>
      </c>
      <c r="C8" s="99">
        <v>6044.3781873470443</v>
      </c>
      <c r="D8" s="99">
        <f t="shared" si="4"/>
        <v>12088.756374694089</v>
      </c>
      <c r="E8" s="97">
        <v>10</v>
      </c>
      <c r="F8" s="100">
        <f t="shared" si="0"/>
        <v>0.1</v>
      </c>
      <c r="G8" s="101">
        <f t="shared" si="1"/>
        <v>1208.875637469409</v>
      </c>
      <c r="H8" s="101">
        <f t="shared" si="2"/>
        <v>604.43781873470448</v>
      </c>
      <c r="I8" s="112">
        <f t="shared" si="3"/>
        <v>604.43781873470448</v>
      </c>
      <c r="J8" s="368" t="s">
        <v>133</v>
      </c>
    </row>
    <row r="9" spans="1:10" x14ac:dyDescent="0.25">
      <c r="A9" s="111">
        <v>1</v>
      </c>
      <c r="B9" s="98" t="s">
        <v>46</v>
      </c>
      <c r="C9" s="99">
        <v>64424.873097624448</v>
      </c>
      <c r="D9" s="99">
        <f t="shared" si="4"/>
        <v>64424.873097624448</v>
      </c>
      <c r="E9" s="97">
        <v>10</v>
      </c>
      <c r="F9" s="100">
        <f t="shared" si="0"/>
        <v>0.1</v>
      </c>
      <c r="G9" s="101">
        <f t="shared" si="1"/>
        <v>6442.487309762445</v>
      </c>
      <c r="H9" s="101">
        <f t="shared" si="2"/>
        <v>3221.2436548812225</v>
      </c>
      <c r="I9" s="112">
        <f t="shared" si="3"/>
        <v>3221.2436548812225</v>
      </c>
      <c r="J9" s="368" t="s">
        <v>133</v>
      </c>
    </row>
    <row r="10" spans="1:10" x14ac:dyDescent="0.25">
      <c r="A10" s="111">
        <v>6</v>
      </c>
      <c r="B10" s="98" t="s">
        <v>47</v>
      </c>
      <c r="C10" s="99">
        <v>5798.2385787862004</v>
      </c>
      <c r="D10" s="99">
        <f t="shared" si="4"/>
        <v>34789.431472717202</v>
      </c>
      <c r="E10" s="97">
        <v>25</v>
      </c>
      <c r="F10" s="100">
        <f t="shared" ref="F10:F29" si="5">1/E10</f>
        <v>0.04</v>
      </c>
      <c r="G10" s="101">
        <f t="shared" si="1"/>
        <v>1391.577258908688</v>
      </c>
      <c r="H10" s="101">
        <f t="shared" si="2"/>
        <v>695.788629454344</v>
      </c>
      <c r="I10" s="112">
        <f t="shared" si="3"/>
        <v>695.788629454344</v>
      </c>
      <c r="J10" s="368" t="s">
        <v>133</v>
      </c>
    </row>
    <row r="11" spans="1:10" x14ac:dyDescent="0.25">
      <c r="A11" s="111">
        <v>24</v>
      </c>
      <c r="B11" s="98" t="s">
        <v>48</v>
      </c>
      <c r="C11" s="99">
        <v>3221.2436548812225</v>
      </c>
      <c r="D11" s="99">
        <f t="shared" si="4"/>
        <v>77309.847717149343</v>
      </c>
      <c r="E11" s="97">
        <v>25</v>
      </c>
      <c r="F11" s="100">
        <f t="shared" si="5"/>
        <v>0.04</v>
      </c>
      <c r="G11" s="101">
        <f t="shared" si="1"/>
        <v>3092.3939086859737</v>
      </c>
      <c r="H11" s="101">
        <f t="shared" si="2"/>
        <v>1546.1969543429868</v>
      </c>
      <c r="I11" s="112">
        <f t="shared" si="3"/>
        <v>1546.1969543429868</v>
      </c>
      <c r="J11" s="368" t="s">
        <v>133</v>
      </c>
    </row>
    <row r="12" spans="1:10" x14ac:dyDescent="0.25">
      <c r="A12" s="111">
        <v>4</v>
      </c>
      <c r="B12" s="98" t="s">
        <v>49</v>
      </c>
      <c r="C12" s="99">
        <v>4187.6167513455894</v>
      </c>
      <c r="D12" s="99">
        <f t="shared" si="4"/>
        <v>16750.467005382357</v>
      </c>
      <c r="E12" s="97">
        <v>25</v>
      </c>
      <c r="F12" s="100">
        <f t="shared" si="5"/>
        <v>0.04</v>
      </c>
      <c r="G12" s="101">
        <f t="shared" si="1"/>
        <v>670.01868021529435</v>
      </c>
      <c r="H12" s="101">
        <f t="shared" si="2"/>
        <v>335.00934010764718</v>
      </c>
      <c r="I12" s="112">
        <f t="shared" si="3"/>
        <v>335.00934010764718</v>
      </c>
      <c r="J12" s="368" t="s">
        <v>133</v>
      </c>
    </row>
    <row r="13" spans="1:10" x14ac:dyDescent="0.25">
      <c r="A13" s="111">
        <v>4</v>
      </c>
      <c r="B13" s="98" t="s">
        <v>50</v>
      </c>
      <c r="C13" s="99">
        <v>122708.76729158332</v>
      </c>
      <c r="D13" s="99">
        <f t="shared" si="4"/>
        <v>490835.0691663333</v>
      </c>
      <c r="E13" s="97">
        <v>12.5</v>
      </c>
      <c r="F13" s="100">
        <f t="shared" si="5"/>
        <v>0.08</v>
      </c>
      <c r="G13" s="101">
        <f t="shared" si="1"/>
        <v>39266.805533306666</v>
      </c>
      <c r="H13" s="101">
        <f t="shared" si="2"/>
        <v>19633.402766653333</v>
      </c>
      <c r="I13" s="112">
        <f t="shared" si="3"/>
        <v>19633.402766653333</v>
      </c>
      <c r="J13" s="368" t="s">
        <v>133</v>
      </c>
    </row>
    <row r="14" spans="1:10" x14ac:dyDescent="0.25">
      <c r="A14" s="111">
        <v>2</v>
      </c>
      <c r="B14" s="98" t="s">
        <v>51</v>
      </c>
      <c r="C14" s="99">
        <v>62111.788223876574</v>
      </c>
      <c r="D14" s="99">
        <f t="shared" si="4"/>
        <v>124223.57644775315</v>
      </c>
      <c r="E14" s="97">
        <v>10</v>
      </c>
      <c r="F14" s="100">
        <f t="shared" si="5"/>
        <v>0.1</v>
      </c>
      <c r="G14" s="101">
        <f t="shared" si="1"/>
        <v>12422.357644775315</v>
      </c>
      <c r="H14" s="101">
        <f t="shared" si="2"/>
        <v>6211.1788223876574</v>
      </c>
      <c r="I14" s="112">
        <f t="shared" si="3"/>
        <v>6211.1788223876574</v>
      </c>
      <c r="J14" s="368" t="s">
        <v>133</v>
      </c>
    </row>
    <row r="15" spans="1:10" x14ac:dyDescent="0.25">
      <c r="A15" s="111">
        <v>1</v>
      </c>
      <c r="B15" s="98" t="s">
        <v>52</v>
      </c>
      <c r="C15" s="99">
        <v>2878.2013061967782</v>
      </c>
      <c r="D15" s="99">
        <f t="shared" si="4"/>
        <v>2878.2013061967782</v>
      </c>
      <c r="E15" s="97">
        <v>25</v>
      </c>
      <c r="F15" s="100">
        <f t="shared" si="5"/>
        <v>0.04</v>
      </c>
      <c r="G15" s="101">
        <f t="shared" si="1"/>
        <v>115.12805224787112</v>
      </c>
      <c r="H15" s="101">
        <f t="shared" si="2"/>
        <v>57.564026123935562</v>
      </c>
      <c r="I15" s="112">
        <f t="shared" si="3"/>
        <v>57.564026123935562</v>
      </c>
      <c r="J15" s="368" t="s">
        <v>133</v>
      </c>
    </row>
    <row r="16" spans="1:10" x14ac:dyDescent="0.25">
      <c r="A16" s="111">
        <v>8</v>
      </c>
      <c r="B16" s="98" t="s">
        <v>53</v>
      </c>
      <c r="C16" s="99">
        <v>10456.605666794485</v>
      </c>
      <c r="D16" s="99">
        <f t="shared" si="4"/>
        <v>83652.845334355879</v>
      </c>
      <c r="E16" s="97">
        <v>5</v>
      </c>
      <c r="F16" s="100">
        <f t="shared" si="5"/>
        <v>0.2</v>
      </c>
      <c r="G16" s="101">
        <f t="shared" si="1"/>
        <v>16730.569066871176</v>
      </c>
      <c r="H16" s="101">
        <f t="shared" si="2"/>
        <v>8365.2845334355879</v>
      </c>
      <c r="I16" s="112">
        <f t="shared" si="3"/>
        <v>8365.2845334355879</v>
      </c>
      <c r="J16" s="368" t="s">
        <v>133</v>
      </c>
    </row>
    <row r="17" spans="1:10" x14ac:dyDescent="0.25">
      <c r="A17" s="111">
        <v>1</v>
      </c>
      <c r="B17" s="98" t="s">
        <v>54</v>
      </c>
      <c r="C17" s="99">
        <v>55091.459796129959</v>
      </c>
      <c r="D17" s="99">
        <f t="shared" si="4"/>
        <v>55091.459796129959</v>
      </c>
      <c r="E17" s="97">
        <v>5</v>
      </c>
      <c r="F17" s="100">
        <f t="shared" si="5"/>
        <v>0.2</v>
      </c>
      <c r="G17" s="101">
        <f t="shared" si="1"/>
        <v>11018.291959225993</v>
      </c>
      <c r="H17" s="101">
        <f t="shared" si="2"/>
        <v>5509.1459796129966</v>
      </c>
      <c r="I17" s="112">
        <f t="shared" si="3"/>
        <v>5509.1459796129966</v>
      </c>
      <c r="J17" s="368" t="s">
        <v>133</v>
      </c>
    </row>
    <row r="18" spans="1:10" x14ac:dyDescent="0.25">
      <c r="A18" s="111">
        <v>1</v>
      </c>
      <c r="B18" s="98" t="s">
        <v>55</v>
      </c>
      <c r="C18" s="99">
        <v>45638.580102357155</v>
      </c>
      <c r="D18" s="99">
        <f t="shared" si="4"/>
        <v>45638.580102357155</v>
      </c>
      <c r="E18" s="97">
        <v>5</v>
      </c>
      <c r="F18" s="100">
        <f t="shared" si="5"/>
        <v>0.2</v>
      </c>
      <c r="G18" s="101">
        <f t="shared" si="1"/>
        <v>9127.716020471431</v>
      </c>
      <c r="H18" s="101">
        <f t="shared" si="2"/>
        <v>4563.8580102357155</v>
      </c>
      <c r="I18" s="112">
        <f t="shared" si="3"/>
        <v>4563.8580102357155</v>
      </c>
      <c r="J18" s="368" t="s">
        <v>133</v>
      </c>
    </row>
    <row r="19" spans="1:10" x14ac:dyDescent="0.25">
      <c r="A19" s="111">
        <v>1</v>
      </c>
      <c r="B19" s="98" t="s">
        <v>56</v>
      </c>
      <c r="C19" s="99">
        <v>44930.576516963498</v>
      </c>
      <c r="D19" s="99">
        <f t="shared" si="4"/>
        <v>44930.576516963498</v>
      </c>
      <c r="E19" s="97">
        <v>5</v>
      </c>
      <c r="F19" s="100">
        <f t="shared" si="5"/>
        <v>0.2</v>
      </c>
      <c r="G19" s="101">
        <f t="shared" si="1"/>
        <v>8986.1153033927003</v>
      </c>
      <c r="H19" s="101">
        <f t="shared" si="2"/>
        <v>4493.0576516963501</v>
      </c>
      <c r="I19" s="112">
        <f t="shared" si="3"/>
        <v>4493.0576516963501</v>
      </c>
      <c r="J19" s="368" t="s">
        <v>133</v>
      </c>
    </row>
    <row r="20" spans="1:10" x14ac:dyDescent="0.25">
      <c r="A20" s="111">
        <v>1</v>
      </c>
      <c r="B20" s="98" t="s">
        <v>57</v>
      </c>
      <c r="C20" s="99">
        <v>6086.9908600097524</v>
      </c>
      <c r="D20" s="99">
        <f t="shared" si="4"/>
        <v>6086.9908600097524</v>
      </c>
      <c r="E20" s="97">
        <v>5</v>
      </c>
      <c r="F20" s="100">
        <f t="shared" si="5"/>
        <v>0.2</v>
      </c>
      <c r="G20" s="101">
        <f t="shared" si="1"/>
        <v>1217.3981720019506</v>
      </c>
      <c r="H20" s="101">
        <f t="shared" si="2"/>
        <v>608.69908600097529</v>
      </c>
      <c r="I20" s="112">
        <f t="shared" si="3"/>
        <v>608.69908600097529</v>
      </c>
      <c r="J20" s="368" t="s">
        <v>133</v>
      </c>
    </row>
    <row r="21" spans="1:10" x14ac:dyDescent="0.25">
      <c r="A21" s="111">
        <v>1</v>
      </c>
      <c r="B21" s="98" t="s">
        <v>58</v>
      </c>
      <c r="C21" s="99">
        <v>40002.254114639909</v>
      </c>
      <c r="D21" s="99">
        <f t="shared" si="4"/>
        <v>40002.254114639909</v>
      </c>
      <c r="E21" s="97">
        <v>10</v>
      </c>
      <c r="F21" s="100">
        <f t="shared" si="5"/>
        <v>0.1</v>
      </c>
      <c r="G21" s="101">
        <f t="shared" si="1"/>
        <v>4000.2254114639909</v>
      </c>
      <c r="H21" s="101">
        <f t="shared" si="2"/>
        <v>2000.1127057319954</v>
      </c>
      <c r="I21" s="112">
        <f t="shared" si="3"/>
        <v>2000.1127057319954</v>
      </c>
      <c r="J21" s="368" t="s">
        <v>133</v>
      </c>
    </row>
    <row r="22" spans="1:10" x14ac:dyDescent="0.25">
      <c r="A22" s="111">
        <v>1</v>
      </c>
      <c r="B22" s="98" t="s">
        <v>59</v>
      </c>
      <c r="C22" s="99">
        <v>128849.7461952489</v>
      </c>
      <c r="D22" s="99">
        <f t="shared" si="4"/>
        <v>128849.7461952489</v>
      </c>
      <c r="E22" s="97">
        <v>10</v>
      </c>
      <c r="F22" s="100">
        <f t="shared" si="5"/>
        <v>0.1</v>
      </c>
      <c r="G22" s="101">
        <f t="shared" si="1"/>
        <v>12884.97461952489</v>
      </c>
      <c r="H22" s="101">
        <f t="shared" si="2"/>
        <v>6442.487309762445</v>
      </c>
      <c r="I22" s="112">
        <f t="shared" si="3"/>
        <v>6442.487309762445</v>
      </c>
      <c r="J22" s="368" t="s">
        <v>133</v>
      </c>
    </row>
    <row r="23" spans="1:10" x14ac:dyDescent="0.25">
      <c r="A23" s="111">
        <v>1</v>
      </c>
      <c r="B23" s="98" t="s">
        <v>60</v>
      </c>
      <c r="C23" s="99">
        <v>113892.8676569044</v>
      </c>
      <c r="D23" s="99">
        <f t="shared" si="4"/>
        <v>113892.8676569044</v>
      </c>
      <c r="E23" s="97">
        <v>10</v>
      </c>
      <c r="F23" s="100">
        <f t="shared" si="5"/>
        <v>0.1</v>
      </c>
      <c r="G23" s="101">
        <f t="shared" si="1"/>
        <v>11389.286765690442</v>
      </c>
      <c r="H23" s="101">
        <f t="shared" si="2"/>
        <v>5694.6433828452209</v>
      </c>
      <c r="I23" s="112">
        <f t="shared" si="3"/>
        <v>5694.6433828452209</v>
      </c>
      <c r="J23" s="368" t="s">
        <v>133</v>
      </c>
    </row>
    <row r="24" spans="1:10" x14ac:dyDescent="0.25">
      <c r="A24" s="111">
        <v>1</v>
      </c>
      <c r="B24" s="98" t="s">
        <v>61</v>
      </c>
      <c r="C24" s="99">
        <v>116721.11958589012</v>
      </c>
      <c r="D24" s="99">
        <f t="shared" si="4"/>
        <v>116721.11958589012</v>
      </c>
      <c r="E24" s="97">
        <v>20</v>
      </c>
      <c r="F24" s="100">
        <f t="shared" si="5"/>
        <v>0.05</v>
      </c>
      <c r="G24" s="101">
        <f t="shared" si="1"/>
        <v>5836.055979294506</v>
      </c>
      <c r="H24" s="101">
        <f t="shared" si="2"/>
        <v>2918.027989647253</v>
      </c>
      <c r="I24" s="112">
        <f t="shared" si="3"/>
        <v>2918.027989647253</v>
      </c>
      <c r="J24" s="368" t="s">
        <v>133</v>
      </c>
    </row>
    <row r="25" spans="1:10" x14ac:dyDescent="0.25">
      <c r="A25" s="111">
        <v>1</v>
      </c>
      <c r="B25" s="98" t="s">
        <v>62</v>
      </c>
      <c r="C25" s="99">
        <v>1537.6732859326785</v>
      </c>
      <c r="D25" s="99">
        <f t="shared" si="4"/>
        <v>1537.6732859326785</v>
      </c>
      <c r="E25" s="97">
        <v>5</v>
      </c>
      <c r="F25" s="100">
        <f t="shared" si="5"/>
        <v>0.2</v>
      </c>
      <c r="G25" s="101">
        <f t="shared" si="1"/>
        <v>307.5346571865357</v>
      </c>
      <c r="H25" s="101">
        <f t="shared" si="2"/>
        <v>153.76732859326785</v>
      </c>
      <c r="I25" s="112">
        <f t="shared" si="3"/>
        <v>153.76732859326785</v>
      </c>
      <c r="J25" s="368" t="s">
        <v>133</v>
      </c>
    </row>
    <row r="26" spans="1:10" ht="13.8" x14ac:dyDescent="0.3">
      <c r="A26" s="111">
        <v>1</v>
      </c>
      <c r="B26" s="102" t="s">
        <v>63</v>
      </c>
      <c r="C26" s="99">
        <v>5799835.0099999998</v>
      </c>
      <c r="D26" s="99">
        <f t="shared" si="4"/>
        <v>5799835.0099999998</v>
      </c>
      <c r="E26" s="97">
        <v>50</v>
      </c>
      <c r="F26" s="100">
        <f t="shared" si="5"/>
        <v>0.02</v>
      </c>
      <c r="G26" s="101">
        <f t="shared" si="1"/>
        <v>115996.70019999999</v>
      </c>
      <c r="H26" s="101">
        <f t="shared" si="2"/>
        <v>57998.350099999996</v>
      </c>
      <c r="I26" s="112">
        <f t="shared" si="3"/>
        <v>57998.350099999996</v>
      </c>
      <c r="J26" s="368" t="s">
        <v>133</v>
      </c>
    </row>
    <row r="27" spans="1:10" x14ac:dyDescent="0.25">
      <c r="A27" s="111">
        <v>1</v>
      </c>
      <c r="B27" s="98" t="s">
        <v>64</v>
      </c>
      <c r="C27" s="99">
        <v>1225059.5263708215</v>
      </c>
      <c r="D27" s="99">
        <f t="shared" si="4"/>
        <v>1225059.5263708215</v>
      </c>
      <c r="E27" s="97">
        <v>15</v>
      </c>
      <c r="F27" s="100">
        <f t="shared" si="5"/>
        <v>6.6666666666666666E-2</v>
      </c>
      <c r="G27" s="101">
        <f t="shared" si="1"/>
        <v>81670.635091388103</v>
      </c>
      <c r="H27" s="101">
        <f t="shared" si="2"/>
        <v>40835.317545694052</v>
      </c>
      <c r="I27" s="112">
        <f t="shared" si="3"/>
        <v>40835.317545694052</v>
      </c>
      <c r="J27" s="368" t="s">
        <v>133</v>
      </c>
    </row>
    <row r="28" spans="1:10" x14ac:dyDescent="0.25">
      <c r="A28" s="111">
        <v>1</v>
      </c>
      <c r="B28" s="98" t="s">
        <v>65</v>
      </c>
      <c r="C28" s="99">
        <v>2495276.3017321136</v>
      </c>
      <c r="D28" s="99">
        <f t="shared" si="4"/>
        <v>2495276.3017321136</v>
      </c>
      <c r="E28" s="97">
        <v>50</v>
      </c>
      <c r="F28" s="100">
        <f t="shared" si="5"/>
        <v>0.02</v>
      </c>
      <c r="G28" s="101">
        <f t="shared" si="1"/>
        <v>49905.526034642273</v>
      </c>
      <c r="H28" s="101">
        <f t="shared" si="2"/>
        <v>24952.763017321136</v>
      </c>
      <c r="I28" s="112">
        <f t="shared" si="3"/>
        <v>24952.763017321136</v>
      </c>
      <c r="J28" s="368" t="s">
        <v>133</v>
      </c>
    </row>
    <row r="29" spans="1:10" x14ac:dyDescent="0.25">
      <c r="A29" s="354">
        <v>1</v>
      </c>
      <c r="B29" s="355" t="s">
        <v>66</v>
      </c>
      <c r="C29" s="353">
        <v>759957.16886688769</v>
      </c>
      <c r="D29" s="353">
        <f t="shared" si="4"/>
        <v>759957.16886688769</v>
      </c>
      <c r="E29" s="356">
        <v>15</v>
      </c>
      <c r="F29" s="357">
        <f t="shared" si="5"/>
        <v>6.6666666666666666E-2</v>
      </c>
      <c r="G29" s="212">
        <f t="shared" si="1"/>
        <v>50663.811257792513</v>
      </c>
      <c r="H29" s="212">
        <f t="shared" si="2"/>
        <v>25331.905628896257</v>
      </c>
      <c r="I29" s="213">
        <f t="shared" si="3"/>
        <v>25331.905628896257</v>
      </c>
      <c r="J29" s="368" t="s">
        <v>133</v>
      </c>
    </row>
    <row r="30" spans="1:10" x14ac:dyDescent="0.25">
      <c r="A30" s="366">
        <v>1</v>
      </c>
      <c r="B30" s="362" t="s">
        <v>301</v>
      </c>
      <c r="C30" s="363">
        <v>1143000</v>
      </c>
      <c r="D30" s="363">
        <f t="shared" si="4"/>
        <v>1143000</v>
      </c>
      <c r="E30" s="361">
        <v>15</v>
      </c>
      <c r="F30" s="364">
        <v>6.6699999999999995E-2</v>
      </c>
      <c r="G30" s="365">
        <f>D30/E30</f>
        <v>76200</v>
      </c>
      <c r="H30" s="365">
        <f t="shared" si="2"/>
        <v>38100</v>
      </c>
      <c r="I30" s="367">
        <f t="shared" si="3"/>
        <v>38100</v>
      </c>
      <c r="J30" s="368" t="s">
        <v>133</v>
      </c>
    </row>
    <row r="31" spans="1:10" ht="14.4" thickBot="1" x14ac:dyDescent="0.35">
      <c r="A31" s="113"/>
      <c r="B31" s="114" t="s">
        <v>40</v>
      </c>
      <c r="C31" s="115"/>
      <c r="D31" s="358">
        <f>SUM(D4:D30)</f>
        <v>14001004.194258081</v>
      </c>
      <c r="E31" s="116"/>
      <c r="F31" s="116"/>
      <c r="G31" s="359">
        <f>SUM(G4:G30)</f>
        <v>631734.54596598702</v>
      </c>
      <c r="H31" s="359">
        <f>SUM(H4:H30)</f>
        <v>315867.27298299351</v>
      </c>
      <c r="I31" s="360">
        <f>SUM(I4:I30)</f>
        <v>315867.27298299351</v>
      </c>
      <c r="J31" s="368" t="s">
        <v>133</v>
      </c>
    </row>
    <row r="32" spans="1:10" ht="15.75" customHeight="1" x14ac:dyDescent="0.25">
      <c r="A32" s="625" t="s">
        <v>67</v>
      </c>
      <c r="B32" s="626"/>
      <c r="C32" s="627"/>
      <c r="D32" s="631">
        <v>13555600</v>
      </c>
      <c r="E32" s="633">
        <v>50</v>
      </c>
      <c r="F32" s="635">
        <f>1/E32</f>
        <v>0.02</v>
      </c>
      <c r="G32" s="605">
        <f>+F32*D32</f>
        <v>271112</v>
      </c>
      <c r="H32" s="605">
        <f>+G32/2</f>
        <v>135556</v>
      </c>
      <c r="I32" s="607">
        <f>+G32-H32</f>
        <v>135556</v>
      </c>
      <c r="J32" s="368"/>
    </row>
    <row r="33" spans="1:10" ht="13.8" thickBot="1" x14ac:dyDescent="0.3">
      <c r="A33" s="628"/>
      <c r="B33" s="629"/>
      <c r="C33" s="630"/>
      <c r="D33" s="632"/>
      <c r="E33" s="634"/>
      <c r="F33" s="636"/>
      <c r="G33" s="606"/>
      <c r="H33" s="606"/>
      <c r="I33" s="608"/>
      <c r="J33" s="368"/>
    </row>
    <row r="34" spans="1:10" ht="15.6" x14ac:dyDescent="0.25">
      <c r="A34" s="616" t="s">
        <v>69</v>
      </c>
      <c r="B34" s="617"/>
      <c r="C34" s="618"/>
      <c r="D34" s="103" t="s">
        <v>68</v>
      </c>
      <c r="E34" s="104"/>
      <c r="F34" s="105"/>
      <c r="G34" s="347">
        <f>+G32+G31</f>
        <v>902846.54596598702</v>
      </c>
      <c r="H34" s="347">
        <f>H31+H32</f>
        <v>451423.27298299351</v>
      </c>
      <c r="I34" s="348">
        <f>I31+I32</f>
        <v>451423.27298299351</v>
      </c>
    </row>
    <row r="35" spans="1:10" ht="16.2" thickBot="1" x14ac:dyDescent="0.35">
      <c r="A35" s="619"/>
      <c r="B35" s="620"/>
      <c r="C35" s="621"/>
      <c r="D35" s="622">
        <f>+D32+D31</f>
        <v>27556604.194258079</v>
      </c>
      <c r="E35" s="623"/>
      <c r="F35" s="624"/>
      <c r="G35" s="344"/>
      <c r="H35" s="132"/>
      <c r="I35" s="133"/>
    </row>
    <row r="38" spans="1:10" ht="13.8" thickBot="1" x14ac:dyDescent="0.3"/>
    <row r="39" spans="1:10" ht="25.8" thickBot="1" x14ac:dyDescent="0.3">
      <c r="A39" s="579" t="s">
        <v>124</v>
      </c>
      <c r="B39" s="580"/>
      <c r="C39" s="580"/>
      <c r="D39" s="580"/>
      <c r="E39" s="580"/>
      <c r="F39" s="581"/>
      <c r="G39" s="587" t="s">
        <v>34</v>
      </c>
      <c r="H39" s="588"/>
      <c r="I39" s="589"/>
    </row>
    <row r="40" spans="1:10" ht="26.25" customHeight="1" x14ac:dyDescent="0.25">
      <c r="A40" s="106" t="s">
        <v>35</v>
      </c>
      <c r="B40" s="108" t="s">
        <v>36</v>
      </c>
      <c r="C40" s="108" t="s">
        <v>37</v>
      </c>
      <c r="D40" s="107" t="s">
        <v>38</v>
      </c>
      <c r="E40" s="107" t="s">
        <v>90</v>
      </c>
      <c r="F40" s="107" t="s">
        <v>39</v>
      </c>
      <c r="G40" s="108" t="s">
        <v>40</v>
      </c>
      <c r="H40" s="108" t="s">
        <v>41</v>
      </c>
      <c r="I40" s="124" t="s">
        <v>123</v>
      </c>
    </row>
    <row r="41" spans="1:10" x14ac:dyDescent="0.25">
      <c r="A41" s="125">
        <v>8</v>
      </c>
      <c r="B41" s="98" t="s">
        <v>91</v>
      </c>
      <c r="C41" s="126">
        <v>15900</v>
      </c>
      <c r="D41" s="352">
        <f>15900*A41</f>
        <v>127200</v>
      </c>
      <c r="E41" s="126">
        <v>50</v>
      </c>
      <c r="F41" s="128">
        <v>0.02</v>
      </c>
      <c r="G41" s="126">
        <f>D41/E41</f>
        <v>2544</v>
      </c>
      <c r="H41" s="126">
        <v>159</v>
      </c>
      <c r="I41" s="127">
        <v>159</v>
      </c>
      <c r="J41" s="368" t="s">
        <v>133</v>
      </c>
    </row>
    <row r="42" spans="1:10" x14ac:dyDescent="0.25">
      <c r="A42" s="125">
        <v>40</v>
      </c>
      <c r="B42" s="98" t="s">
        <v>92</v>
      </c>
      <c r="C42" s="126">
        <v>7500</v>
      </c>
      <c r="D42" s="126">
        <f>7500*A42</f>
        <v>300000</v>
      </c>
      <c r="E42" s="126">
        <v>50</v>
      </c>
      <c r="F42" s="128">
        <v>0.02</v>
      </c>
      <c r="G42" s="126">
        <f>D42/E42</f>
        <v>6000</v>
      </c>
      <c r="H42" s="126">
        <v>75</v>
      </c>
      <c r="I42" s="127">
        <v>75</v>
      </c>
      <c r="J42" s="368" t="s">
        <v>133</v>
      </c>
    </row>
    <row r="43" spans="1:10" x14ac:dyDescent="0.25">
      <c r="A43" s="125">
        <v>8</v>
      </c>
      <c r="B43" s="98" t="s">
        <v>93</v>
      </c>
      <c r="C43" s="126">
        <v>328000</v>
      </c>
      <c r="D43" s="126">
        <f>A43*2328000</f>
        <v>18624000</v>
      </c>
      <c r="E43" s="126">
        <v>50</v>
      </c>
      <c r="F43" s="128">
        <v>0.02</v>
      </c>
      <c r="G43" s="126">
        <f>D43/E43</f>
        <v>372480</v>
      </c>
      <c r="H43" s="126">
        <v>3280</v>
      </c>
      <c r="I43" s="127">
        <v>3280</v>
      </c>
      <c r="J43" s="368" t="s">
        <v>133</v>
      </c>
    </row>
    <row r="44" spans="1:10" x14ac:dyDescent="0.25">
      <c r="A44" s="125">
        <v>1</v>
      </c>
      <c r="B44" s="98" t="s">
        <v>94</v>
      </c>
      <c r="C44" s="126">
        <v>120000</v>
      </c>
      <c r="D44" s="126">
        <v>120000</v>
      </c>
      <c r="E44" s="126">
        <v>80</v>
      </c>
      <c r="F44" s="128">
        <v>1.2500000000000001E-2</v>
      </c>
      <c r="G44" s="126">
        <v>1500</v>
      </c>
      <c r="H44" s="126">
        <v>750</v>
      </c>
      <c r="I44" s="127">
        <v>750</v>
      </c>
      <c r="J44" s="368" t="s">
        <v>133</v>
      </c>
    </row>
    <row r="45" spans="1:10" x14ac:dyDescent="0.25">
      <c r="A45" s="125">
        <v>2</v>
      </c>
      <c r="B45" s="98" t="s">
        <v>95</v>
      </c>
      <c r="C45" s="126">
        <v>42500</v>
      </c>
      <c r="D45" s="126">
        <v>85000</v>
      </c>
      <c r="E45" s="126">
        <v>50</v>
      </c>
      <c r="F45" s="128">
        <v>0.02</v>
      </c>
      <c r="G45" s="126">
        <v>1700</v>
      </c>
      <c r="H45" s="126">
        <v>850</v>
      </c>
      <c r="I45" s="127">
        <v>850</v>
      </c>
      <c r="J45" s="368" t="s">
        <v>133</v>
      </c>
    </row>
    <row r="46" spans="1:10" x14ac:dyDescent="0.25">
      <c r="A46" s="125">
        <v>4</v>
      </c>
      <c r="B46" s="98" t="s">
        <v>96</v>
      </c>
      <c r="C46" s="126">
        <v>125600</v>
      </c>
      <c r="D46" s="126">
        <v>502400</v>
      </c>
      <c r="E46" s="126">
        <v>10</v>
      </c>
      <c r="F46" s="128">
        <v>0.1</v>
      </c>
      <c r="G46" s="126">
        <v>50240</v>
      </c>
      <c r="H46" s="126">
        <v>25120</v>
      </c>
      <c r="I46" s="127">
        <v>25120</v>
      </c>
      <c r="J46" s="368" t="s">
        <v>133</v>
      </c>
    </row>
    <row r="47" spans="1:10" x14ac:dyDescent="0.25">
      <c r="A47" s="125">
        <v>2</v>
      </c>
      <c r="B47" s="98" t="s">
        <v>97</v>
      </c>
      <c r="C47" s="126">
        <v>56000</v>
      </c>
      <c r="D47" s="126">
        <v>112000</v>
      </c>
      <c r="E47" s="126">
        <v>50</v>
      </c>
      <c r="F47" s="128">
        <v>0.02</v>
      </c>
      <c r="G47" s="126">
        <v>2240</v>
      </c>
      <c r="H47" s="126">
        <v>1120</v>
      </c>
      <c r="I47" s="127">
        <v>1120</v>
      </c>
      <c r="J47" s="368" t="s">
        <v>133</v>
      </c>
    </row>
    <row r="48" spans="1:10" x14ac:dyDescent="0.25">
      <c r="A48" s="125">
        <v>2</v>
      </c>
      <c r="B48" s="98" t="s">
        <v>98</v>
      </c>
      <c r="C48" s="126">
        <v>15000</v>
      </c>
      <c r="D48" s="126">
        <v>30000</v>
      </c>
      <c r="E48" s="126">
        <v>15</v>
      </c>
      <c r="F48" s="128">
        <v>6.6666666666666666E-2</v>
      </c>
      <c r="G48" s="126">
        <v>2000</v>
      </c>
      <c r="H48" s="126">
        <v>1000</v>
      </c>
      <c r="I48" s="127">
        <v>1000</v>
      </c>
      <c r="J48" s="368" t="s">
        <v>133</v>
      </c>
    </row>
    <row r="49" spans="1:10" x14ac:dyDescent="0.25">
      <c r="A49" s="125">
        <v>1</v>
      </c>
      <c r="B49" s="98" t="s">
        <v>99</v>
      </c>
      <c r="C49" s="126">
        <v>18900</v>
      </c>
      <c r="D49" s="126">
        <v>18900</v>
      </c>
      <c r="E49" s="126">
        <v>10</v>
      </c>
      <c r="F49" s="128">
        <v>0.1</v>
      </c>
      <c r="G49" s="126">
        <v>1890</v>
      </c>
      <c r="H49" s="126">
        <v>945</v>
      </c>
      <c r="I49" s="127">
        <v>945</v>
      </c>
      <c r="J49" s="368" t="s">
        <v>133</v>
      </c>
    </row>
    <row r="50" spans="1:10" x14ac:dyDescent="0.25">
      <c r="A50" s="125">
        <v>2</v>
      </c>
      <c r="B50" s="98" t="s">
        <v>100</v>
      </c>
      <c r="C50" s="126">
        <v>62400</v>
      </c>
      <c r="D50" s="126">
        <v>124800</v>
      </c>
      <c r="E50" s="126">
        <v>50</v>
      </c>
      <c r="F50" s="128">
        <v>0.02</v>
      </c>
      <c r="G50" s="126">
        <v>2496</v>
      </c>
      <c r="H50" s="126">
        <v>1248</v>
      </c>
      <c r="I50" s="127">
        <v>1248</v>
      </c>
      <c r="J50" s="368" t="s">
        <v>133</v>
      </c>
    </row>
    <row r="51" spans="1:10" x14ac:dyDescent="0.25">
      <c r="A51" s="125">
        <v>2</v>
      </c>
      <c r="B51" s="98" t="s">
        <v>101</v>
      </c>
      <c r="C51" s="126">
        <v>69000</v>
      </c>
      <c r="D51" s="126">
        <v>138000</v>
      </c>
      <c r="E51" s="126">
        <v>15</v>
      </c>
      <c r="F51" s="128">
        <v>6.6666666666666666E-2</v>
      </c>
      <c r="G51" s="126">
        <v>9200</v>
      </c>
      <c r="H51" s="126">
        <v>4600</v>
      </c>
      <c r="I51" s="127">
        <v>4600</v>
      </c>
      <c r="J51" s="368" t="s">
        <v>133</v>
      </c>
    </row>
    <row r="52" spans="1:10" x14ac:dyDescent="0.25">
      <c r="A52" s="125">
        <v>4</v>
      </c>
      <c r="B52" s="98" t="s">
        <v>102</v>
      </c>
      <c r="C52" s="126">
        <v>81100</v>
      </c>
      <c r="D52" s="126">
        <v>324400</v>
      </c>
      <c r="E52" s="126">
        <v>40</v>
      </c>
      <c r="F52" s="128">
        <v>2.5000000000000001E-2</v>
      </c>
      <c r="G52" s="126">
        <v>8110</v>
      </c>
      <c r="H52" s="126">
        <v>4055</v>
      </c>
      <c r="I52" s="127">
        <v>4055</v>
      </c>
      <c r="J52" s="368" t="s">
        <v>133</v>
      </c>
    </row>
    <row r="53" spans="1:10" x14ac:dyDescent="0.25">
      <c r="A53" s="125">
        <v>4</v>
      </c>
      <c r="B53" s="98" t="s">
        <v>103</v>
      </c>
      <c r="C53" s="126">
        <v>42300</v>
      </c>
      <c r="D53" s="126">
        <v>169200</v>
      </c>
      <c r="E53" s="126">
        <v>15</v>
      </c>
      <c r="F53" s="128">
        <v>6.6666666666666666E-2</v>
      </c>
      <c r="G53" s="126">
        <v>11280</v>
      </c>
      <c r="H53" s="126">
        <v>5640</v>
      </c>
      <c r="I53" s="127">
        <v>5640</v>
      </c>
      <c r="J53" s="368" t="s">
        <v>133</v>
      </c>
    </row>
    <row r="54" spans="1:10" x14ac:dyDescent="0.25">
      <c r="A54" s="125">
        <v>4</v>
      </c>
      <c r="B54" s="98" t="s">
        <v>104</v>
      </c>
      <c r="C54" s="126">
        <v>125900</v>
      </c>
      <c r="D54" s="126">
        <v>503600</v>
      </c>
      <c r="E54" s="126">
        <v>40</v>
      </c>
      <c r="F54" s="128">
        <v>2.5000000000000001E-2</v>
      </c>
      <c r="G54" s="126">
        <v>12590</v>
      </c>
      <c r="H54" s="126">
        <v>6295</v>
      </c>
      <c r="I54" s="127">
        <v>6295</v>
      </c>
      <c r="J54" s="368" t="s">
        <v>133</v>
      </c>
    </row>
    <row r="55" spans="1:10" x14ac:dyDescent="0.25">
      <c r="A55" s="125">
        <v>4</v>
      </c>
      <c r="B55" s="98" t="s">
        <v>105</v>
      </c>
      <c r="C55" s="126">
        <v>81300</v>
      </c>
      <c r="D55" s="126">
        <v>325200</v>
      </c>
      <c r="E55" s="126">
        <v>10</v>
      </c>
      <c r="F55" s="128">
        <v>0.1</v>
      </c>
      <c r="G55" s="126">
        <v>32520</v>
      </c>
      <c r="H55" s="126">
        <v>16260</v>
      </c>
      <c r="I55" s="127">
        <v>16260</v>
      </c>
      <c r="J55" s="368" t="s">
        <v>133</v>
      </c>
    </row>
    <row r="56" spans="1:10" x14ac:dyDescent="0.25">
      <c r="A56" s="125">
        <v>4</v>
      </c>
      <c r="B56" s="98" t="s">
        <v>106</v>
      </c>
      <c r="C56" s="126">
        <v>110000</v>
      </c>
      <c r="D56" s="126">
        <v>440000</v>
      </c>
      <c r="E56" s="126">
        <v>40</v>
      </c>
      <c r="F56" s="128">
        <v>2.5000000000000001E-2</v>
      </c>
      <c r="G56" s="126">
        <v>11000</v>
      </c>
      <c r="H56" s="126">
        <v>5500</v>
      </c>
      <c r="I56" s="127">
        <v>5500</v>
      </c>
      <c r="J56" s="368" t="s">
        <v>133</v>
      </c>
    </row>
    <row r="57" spans="1:10" x14ac:dyDescent="0.25">
      <c r="A57" s="125">
        <v>4</v>
      </c>
      <c r="B57" s="98" t="s">
        <v>107</v>
      </c>
      <c r="C57" s="126">
        <v>56900</v>
      </c>
      <c r="D57" s="126">
        <v>227600</v>
      </c>
      <c r="E57" s="126">
        <v>15</v>
      </c>
      <c r="F57" s="128">
        <v>6.6666666666666666E-2</v>
      </c>
      <c r="G57" s="126">
        <v>15173.333333333334</v>
      </c>
      <c r="H57" s="126">
        <v>7586.666666666667</v>
      </c>
      <c r="I57" s="127">
        <v>7586.666666666667</v>
      </c>
      <c r="J57" s="368" t="s">
        <v>133</v>
      </c>
    </row>
    <row r="58" spans="1:10" x14ac:dyDescent="0.25">
      <c r="A58" s="125">
        <v>2</v>
      </c>
      <c r="B58" s="98" t="s">
        <v>108</v>
      </c>
      <c r="C58" s="126">
        <v>48000</v>
      </c>
      <c r="D58" s="126">
        <v>96000</v>
      </c>
      <c r="E58" s="126">
        <v>40</v>
      </c>
      <c r="F58" s="128">
        <v>2.5000000000000001E-2</v>
      </c>
      <c r="G58" s="126">
        <v>2400</v>
      </c>
      <c r="H58" s="126">
        <v>1200</v>
      </c>
      <c r="I58" s="127">
        <v>1200</v>
      </c>
      <c r="J58" s="368" t="s">
        <v>133</v>
      </c>
    </row>
    <row r="59" spans="1:10" x14ac:dyDescent="0.25">
      <c r="A59" s="125">
        <v>4</v>
      </c>
      <c r="B59" s="98" t="s">
        <v>109</v>
      </c>
      <c r="C59" s="126">
        <v>39500</v>
      </c>
      <c r="D59" s="126">
        <v>158000</v>
      </c>
      <c r="E59" s="126">
        <v>50</v>
      </c>
      <c r="F59" s="128">
        <v>0.02</v>
      </c>
      <c r="G59" s="126">
        <v>3160</v>
      </c>
      <c r="H59" s="126">
        <v>1580</v>
      </c>
      <c r="I59" s="127">
        <v>1580</v>
      </c>
      <c r="J59" s="368" t="s">
        <v>133</v>
      </c>
    </row>
    <row r="60" spans="1:10" x14ac:dyDescent="0.25">
      <c r="A60" s="125">
        <v>6</v>
      </c>
      <c r="B60" s="98" t="s">
        <v>110</v>
      </c>
      <c r="C60" s="126">
        <v>42000</v>
      </c>
      <c r="D60" s="126">
        <v>252000</v>
      </c>
      <c r="E60" s="126">
        <v>40</v>
      </c>
      <c r="F60" s="128">
        <v>2.5000000000000001E-2</v>
      </c>
      <c r="G60" s="126">
        <v>6300</v>
      </c>
      <c r="H60" s="126">
        <v>3150</v>
      </c>
      <c r="I60" s="127">
        <v>3150</v>
      </c>
      <c r="J60" s="368" t="s">
        <v>133</v>
      </c>
    </row>
    <row r="61" spans="1:10" x14ac:dyDescent="0.25">
      <c r="A61" s="125">
        <v>6</v>
      </c>
      <c r="B61" s="98" t="s">
        <v>111</v>
      </c>
      <c r="C61" s="126">
        <v>31000</v>
      </c>
      <c r="D61" s="126">
        <v>186000</v>
      </c>
      <c r="E61" s="126">
        <v>20</v>
      </c>
      <c r="F61" s="128">
        <v>0.05</v>
      </c>
      <c r="G61" s="126">
        <v>9300</v>
      </c>
      <c r="H61" s="126">
        <v>4650</v>
      </c>
      <c r="I61" s="127">
        <v>4650</v>
      </c>
      <c r="J61" s="368" t="s">
        <v>133</v>
      </c>
    </row>
    <row r="62" spans="1:10" x14ac:dyDescent="0.25">
      <c r="A62" s="125">
        <v>4</v>
      </c>
      <c r="B62" s="98" t="s">
        <v>112</v>
      </c>
      <c r="C62" s="126">
        <v>126700</v>
      </c>
      <c r="D62" s="126">
        <v>506800</v>
      </c>
      <c r="E62" s="126">
        <v>5</v>
      </c>
      <c r="F62" s="128">
        <v>0.2</v>
      </c>
      <c r="G62" s="126">
        <v>101360</v>
      </c>
      <c r="H62" s="126">
        <v>50680</v>
      </c>
      <c r="I62" s="127">
        <v>50680</v>
      </c>
      <c r="J62" s="368" t="s">
        <v>133</v>
      </c>
    </row>
    <row r="63" spans="1:10" x14ac:dyDescent="0.25">
      <c r="A63" s="125">
        <v>3</v>
      </c>
      <c r="B63" s="98" t="s">
        <v>113</v>
      </c>
      <c r="C63" s="126">
        <v>98000</v>
      </c>
      <c r="D63" s="126">
        <v>294000</v>
      </c>
      <c r="E63" s="126">
        <v>15</v>
      </c>
      <c r="F63" s="128">
        <v>6.6666666666666666E-2</v>
      </c>
      <c r="G63" s="126">
        <v>19600</v>
      </c>
      <c r="H63" s="126">
        <v>9800</v>
      </c>
      <c r="I63" s="127">
        <v>9800</v>
      </c>
      <c r="J63" s="368" t="s">
        <v>133</v>
      </c>
    </row>
    <row r="64" spans="1:10" x14ac:dyDescent="0.25">
      <c r="A64" s="125">
        <v>10</v>
      </c>
      <c r="B64" s="98" t="s">
        <v>114</v>
      </c>
      <c r="C64" s="126">
        <v>79200</v>
      </c>
      <c r="D64" s="126">
        <v>792000</v>
      </c>
      <c r="E64" s="126">
        <v>10</v>
      </c>
      <c r="F64" s="128">
        <v>0.1</v>
      </c>
      <c r="G64" s="126">
        <v>79200</v>
      </c>
      <c r="H64" s="126">
        <v>39600</v>
      </c>
      <c r="I64" s="127">
        <v>39600</v>
      </c>
      <c r="J64" s="368" t="s">
        <v>133</v>
      </c>
    </row>
    <row r="65" spans="1:10" x14ac:dyDescent="0.25">
      <c r="A65" s="125">
        <v>2</v>
      </c>
      <c r="B65" s="98" t="s">
        <v>115</v>
      </c>
      <c r="C65" s="126">
        <v>123000</v>
      </c>
      <c r="D65" s="126">
        <v>246000</v>
      </c>
      <c r="E65" s="126">
        <v>15</v>
      </c>
      <c r="F65" s="128">
        <v>6.6666666666666666E-2</v>
      </c>
      <c r="G65" s="126">
        <v>16400</v>
      </c>
      <c r="H65" s="126">
        <v>8200</v>
      </c>
      <c r="I65" s="127">
        <v>8200</v>
      </c>
      <c r="J65" s="368" t="s">
        <v>133</v>
      </c>
    </row>
    <row r="66" spans="1:10" x14ac:dyDescent="0.25">
      <c r="A66" s="125">
        <v>4</v>
      </c>
      <c r="B66" s="98" t="s">
        <v>116</v>
      </c>
      <c r="C66" s="126">
        <v>116200</v>
      </c>
      <c r="D66" s="126">
        <v>464800</v>
      </c>
      <c r="E66" s="126">
        <v>10</v>
      </c>
      <c r="F66" s="128">
        <v>0.1</v>
      </c>
      <c r="G66" s="126">
        <v>46480</v>
      </c>
      <c r="H66" s="126">
        <v>23240</v>
      </c>
      <c r="I66" s="127">
        <v>23240</v>
      </c>
      <c r="J66" s="368" t="s">
        <v>133</v>
      </c>
    </row>
    <row r="67" spans="1:10" x14ac:dyDescent="0.25">
      <c r="A67" s="125">
        <v>4</v>
      </c>
      <c r="B67" s="98" t="s">
        <v>117</v>
      </c>
      <c r="C67" s="126">
        <v>98600</v>
      </c>
      <c r="D67" s="126">
        <v>394400</v>
      </c>
      <c r="E67" s="126">
        <v>10</v>
      </c>
      <c r="F67" s="128">
        <v>0.1</v>
      </c>
      <c r="G67" s="126">
        <v>39440</v>
      </c>
      <c r="H67" s="126">
        <v>19720</v>
      </c>
      <c r="I67" s="127">
        <v>19720</v>
      </c>
      <c r="J67" s="368" t="s">
        <v>133</v>
      </c>
    </row>
    <row r="68" spans="1:10" x14ac:dyDescent="0.25">
      <c r="A68" s="125">
        <v>4</v>
      </c>
      <c r="B68" s="98" t="s">
        <v>118</v>
      </c>
      <c r="C68" s="126">
        <v>256000</v>
      </c>
      <c r="D68" s="126">
        <v>1024000</v>
      </c>
      <c r="E68" s="126">
        <v>10</v>
      </c>
      <c r="F68" s="128">
        <v>0.1</v>
      </c>
      <c r="G68" s="126">
        <v>102400</v>
      </c>
      <c r="H68" s="126">
        <v>51200</v>
      </c>
      <c r="I68" s="127">
        <v>51200</v>
      </c>
      <c r="J68" s="368" t="s">
        <v>133</v>
      </c>
    </row>
    <row r="69" spans="1:10" x14ac:dyDescent="0.25">
      <c r="A69" s="125">
        <v>1</v>
      </c>
      <c r="B69" s="98" t="s">
        <v>119</v>
      </c>
      <c r="C69" s="126">
        <v>222300</v>
      </c>
      <c r="D69" s="126">
        <v>222300</v>
      </c>
      <c r="E69" s="126">
        <v>10</v>
      </c>
      <c r="F69" s="128">
        <v>0.1</v>
      </c>
      <c r="G69" s="126">
        <v>22230</v>
      </c>
      <c r="H69" s="126">
        <v>11115</v>
      </c>
      <c r="I69" s="127">
        <v>11115</v>
      </c>
      <c r="J69" s="368" t="s">
        <v>133</v>
      </c>
    </row>
    <row r="70" spans="1:10" x14ac:dyDescent="0.25">
      <c r="A70" s="125">
        <v>1</v>
      </c>
      <c r="B70" s="246" t="s">
        <v>120</v>
      </c>
      <c r="C70" s="126">
        <v>199000</v>
      </c>
      <c r="D70" s="126">
        <v>199000</v>
      </c>
      <c r="E70" s="126">
        <v>15</v>
      </c>
      <c r="F70" s="128">
        <v>6.6666666666666666E-2</v>
      </c>
      <c r="G70" s="126">
        <v>13266.666666666666</v>
      </c>
      <c r="H70" s="126">
        <v>6633.333333333333</v>
      </c>
      <c r="I70" s="127">
        <v>6633.333333333333</v>
      </c>
      <c r="J70" s="368" t="s">
        <v>133</v>
      </c>
    </row>
    <row r="71" spans="1:10" x14ac:dyDescent="0.25">
      <c r="A71" s="125">
        <v>1</v>
      </c>
      <c r="B71" s="98" t="s">
        <v>121</v>
      </c>
      <c r="C71" s="126">
        <v>2025000</v>
      </c>
      <c r="D71" s="126">
        <v>2025000</v>
      </c>
      <c r="E71" s="126">
        <v>50</v>
      </c>
      <c r="F71" s="128">
        <v>0.02</v>
      </c>
      <c r="G71" s="126">
        <v>40500</v>
      </c>
      <c r="H71" s="126">
        <v>20250</v>
      </c>
      <c r="I71" s="127">
        <v>20250</v>
      </c>
      <c r="J71" s="368" t="s">
        <v>133</v>
      </c>
    </row>
    <row r="72" spans="1:10" ht="13.8" thickBot="1" x14ac:dyDescent="0.3">
      <c r="A72" s="433">
        <v>1</v>
      </c>
      <c r="B72" s="355" t="s">
        <v>122</v>
      </c>
      <c r="C72" s="434">
        <v>1128000</v>
      </c>
      <c r="D72" s="434">
        <v>1128000</v>
      </c>
      <c r="E72" s="434">
        <v>10</v>
      </c>
      <c r="F72" s="435">
        <v>0.1</v>
      </c>
      <c r="G72" s="434">
        <v>112800</v>
      </c>
      <c r="H72" s="434">
        <v>56400</v>
      </c>
      <c r="I72" s="436">
        <v>56400</v>
      </c>
      <c r="J72" s="368" t="s">
        <v>133</v>
      </c>
    </row>
    <row r="73" spans="1:10" ht="12.75" customHeight="1" x14ac:dyDescent="0.25">
      <c r="A73" s="593" t="s">
        <v>69</v>
      </c>
      <c r="B73" s="594"/>
      <c r="C73" s="595"/>
      <c r="D73" s="599" t="s">
        <v>68</v>
      </c>
      <c r="E73" s="600"/>
      <c r="F73" s="601"/>
      <c r="G73" s="345">
        <f>SUM(G41:G72)</f>
        <v>1157800</v>
      </c>
      <c r="H73" s="345">
        <f>SUM(H41:H72)</f>
        <v>391902</v>
      </c>
      <c r="I73" s="346">
        <f>SUM(I41:I72)</f>
        <v>391902</v>
      </c>
    </row>
    <row r="74" spans="1:10" ht="12.9" customHeight="1" thickBot="1" x14ac:dyDescent="0.35">
      <c r="A74" s="596"/>
      <c r="B74" s="597"/>
      <c r="C74" s="598"/>
      <c r="D74" s="602">
        <f>SUM(D41:D72)</f>
        <v>30160600</v>
      </c>
      <c r="E74" s="603"/>
      <c r="F74" s="604"/>
      <c r="G74" s="590"/>
      <c r="H74" s="591"/>
      <c r="I74" s="592"/>
    </row>
    <row r="75" spans="1:10" ht="13.8" thickBot="1" x14ac:dyDescent="0.3"/>
    <row r="76" spans="1:10" ht="18" thickBot="1" x14ac:dyDescent="0.35">
      <c r="A76" s="585" t="s">
        <v>139</v>
      </c>
      <c r="B76" s="586"/>
      <c r="C76" s="201"/>
    </row>
  </sheetData>
  <mergeCells count="18">
    <mergeCell ref="H32:H33"/>
    <mergeCell ref="I32:I33"/>
    <mergeCell ref="A1:F2"/>
    <mergeCell ref="G1:I2"/>
    <mergeCell ref="A34:C35"/>
    <mergeCell ref="D35:F35"/>
    <mergeCell ref="A32:C33"/>
    <mergeCell ref="D32:D33"/>
    <mergeCell ref="E32:E33"/>
    <mergeCell ref="F32:F33"/>
    <mergeCell ref="G32:G33"/>
    <mergeCell ref="A76:B76"/>
    <mergeCell ref="A39:F39"/>
    <mergeCell ref="G39:I39"/>
    <mergeCell ref="G74:I74"/>
    <mergeCell ref="A73:C74"/>
    <mergeCell ref="D73:F73"/>
    <mergeCell ref="D74:F74"/>
  </mergeCells>
  <hyperlinks>
    <hyperlink ref="A76" location="' Veri Girişi ve Sonuç Tablosu'!A29" display="VERİ GİRİŞİ YAPILDIYSA GERİ DÖNMEK İÇİN TIKLAYINIZ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19" zoomScale="87" zoomScaleNormal="85" zoomScalePageLayoutView="85" workbookViewId="0">
      <selection activeCell="D38" sqref="D38"/>
    </sheetView>
  </sheetViews>
  <sheetFormatPr defaultColWidth="8.88671875" defaultRowHeight="13.2" x14ac:dyDescent="0.25"/>
  <cols>
    <col min="1" max="1" width="75" style="1" customWidth="1"/>
    <col min="2" max="2" width="34.44140625" style="1" customWidth="1"/>
    <col min="3" max="3" width="46.44140625" style="1" customWidth="1"/>
    <col min="4" max="4" width="15" style="1" customWidth="1"/>
    <col min="5" max="5" width="21.44140625" style="1" customWidth="1"/>
    <col min="6" max="7" width="28.109375" style="1" customWidth="1"/>
    <col min="8" max="255" width="8.88671875" customWidth="1"/>
  </cols>
  <sheetData>
    <row r="1" spans="1:4" ht="40.5" customHeight="1" thickBot="1" x14ac:dyDescent="0.5">
      <c r="A1" s="655" t="s">
        <v>219</v>
      </c>
      <c r="B1" s="656"/>
      <c r="C1" s="657"/>
    </row>
    <row r="2" spans="1:4" ht="21" thickBot="1" x14ac:dyDescent="0.4">
      <c r="A2" s="643" t="s">
        <v>157</v>
      </c>
      <c r="B2" s="644"/>
      <c r="C2" s="645"/>
    </row>
    <row r="3" spans="1:4" ht="15" x14ac:dyDescent="0.25">
      <c r="A3" s="247" t="s">
        <v>155</v>
      </c>
      <c r="B3" s="255" t="s">
        <v>165</v>
      </c>
      <c r="C3" s="84">
        <f>' Veri Girişi ve Sonuç Tablosu'!C3</f>
        <v>112531</v>
      </c>
    </row>
    <row r="4" spans="1:4" ht="15" x14ac:dyDescent="0.25">
      <c r="A4" s="248" t="s">
        <v>156</v>
      </c>
      <c r="B4" s="254" t="s">
        <v>164</v>
      </c>
      <c r="C4" s="40">
        <f>' Veri Girişi ve Sonuç Tablosu'!C4</f>
        <v>172</v>
      </c>
    </row>
    <row r="5" spans="1:4" ht="15" x14ac:dyDescent="0.25">
      <c r="A5" s="248" t="s">
        <v>331</v>
      </c>
      <c r="B5" s="252" t="s">
        <v>163</v>
      </c>
      <c r="C5" s="85">
        <f>' Veri Girişi ve Sonuç Tablosu'!B20</f>
        <v>6358226.5619999999</v>
      </c>
    </row>
    <row r="6" spans="1:4" ht="15.6" thickBot="1" x14ac:dyDescent="0.3">
      <c r="A6" s="249" t="s">
        <v>309</v>
      </c>
      <c r="B6" s="253" t="s">
        <v>163</v>
      </c>
      <c r="C6" s="86">
        <f>' Veri Girişi ve Sonuç Tablosu'!B18</f>
        <v>8830870.2249999996</v>
      </c>
    </row>
    <row r="7" spans="1:4" ht="21" thickBot="1" x14ac:dyDescent="0.4">
      <c r="A7" s="658" t="s">
        <v>179</v>
      </c>
      <c r="B7" s="641"/>
      <c r="C7" s="659"/>
    </row>
    <row r="8" spans="1:4" ht="15" x14ac:dyDescent="0.25">
      <c r="A8" s="30" t="s">
        <v>159</v>
      </c>
      <c r="B8" s="31" t="s">
        <v>28</v>
      </c>
      <c r="C8" s="32">
        <v>9.1999999999999998E-2</v>
      </c>
      <c r="D8" s="22" t="s">
        <v>133</v>
      </c>
    </row>
    <row r="9" spans="1:4" ht="15" x14ac:dyDescent="0.25">
      <c r="A9" s="33" t="s">
        <v>160</v>
      </c>
      <c r="B9" s="24" t="s">
        <v>29</v>
      </c>
      <c r="C9" s="34">
        <v>0.09</v>
      </c>
      <c r="D9" s="22" t="s">
        <v>133</v>
      </c>
    </row>
    <row r="10" spans="1:4" ht="15" x14ac:dyDescent="0.25">
      <c r="A10" s="33" t="s">
        <v>162</v>
      </c>
      <c r="B10" s="24" t="s">
        <v>30</v>
      </c>
      <c r="C10" s="35">
        <v>60</v>
      </c>
      <c r="D10" s="22" t="s">
        <v>133</v>
      </c>
    </row>
    <row r="11" spans="1:4" ht="17.399999999999999" x14ac:dyDescent="0.3">
      <c r="A11" s="250" t="s">
        <v>161</v>
      </c>
      <c r="B11" s="88" t="s">
        <v>166</v>
      </c>
      <c r="C11" s="169">
        <f>C6*C9*C8</f>
        <v>73119.605463</v>
      </c>
    </row>
    <row r="12" spans="1:4" ht="18" thickBot="1" x14ac:dyDescent="0.35">
      <c r="A12" s="251" t="s">
        <v>329</v>
      </c>
      <c r="B12" s="89" t="s">
        <v>166</v>
      </c>
      <c r="C12" s="170">
        <f>C6*C10*C8/256.88</f>
        <v>189763.32778729367</v>
      </c>
    </row>
    <row r="13" spans="1:4" ht="21" thickBot="1" x14ac:dyDescent="0.4">
      <c r="A13" s="649" t="s">
        <v>174</v>
      </c>
      <c r="B13" s="650"/>
      <c r="C13" s="651"/>
    </row>
    <row r="14" spans="1:4" ht="15" x14ac:dyDescent="0.25">
      <c r="A14" s="45" t="s">
        <v>168</v>
      </c>
      <c r="B14" s="46" t="s">
        <v>31</v>
      </c>
      <c r="C14" s="47">
        <v>1.2999999999999999E-2</v>
      </c>
      <c r="D14" s="22" t="s">
        <v>133</v>
      </c>
    </row>
    <row r="15" spans="1:4" ht="15" x14ac:dyDescent="0.25">
      <c r="A15" s="48" t="s">
        <v>169</v>
      </c>
      <c r="B15" s="49" t="s">
        <v>31</v>
      </c>
      <c r="C15" s="50">
        <v>3.0000000000000001E-3</v>
      </c>
      <c r="D15" s="22" t="s">
        <v>133</v>
      </c>
    </row>
    <row r="16" spans="1:4" ht="18" customHeight="1" thickBot="1" x14ac:dyDescent="0.35">
      <c r="A16" s="256" t="s">
        <v>170</v>
      </c>
      <c r="B16" s="90" t="s">
        <v>166</v>
      </c>
      <c r="C16" s="171">
        <f>C6*(C14+C15)</f>
        <v>141293.92360000001</v>
      </c>
    </row>
    <row r="17" spans="1:4" ht="21" thickBot="1" x14ac:dyDescent="0.4">
      <c r="A17" s="643" t="s">
        <v>175</v>
      </c>
      <c r="B17" s="644"/>
      <c r="C17" s="645"/>
    </row>
    <row r="18" spans="1:4" ht="15" x14ac:dyDescent="0.25">
      <c r="A18" s="257" t="s">
        <v>171</v>
      </c>
      <c r="B18" s="37" t="s">
        <v>165</v>
      </c>
      <c r="C18" s="91">
        <v>48</v>
      </c>
      <c r="D18" s="22" t="s">
        <v>133</v>
      </c>
    </row>
    <row r="19" spans="1:4" ht="15" x14ac:dyDescent="0.25">
      <c r="A19" s="36" t="s">
        <v>172</v>
      </c>
      <c r="B19" s="29" t="s">
        <v>166</v>
      </c>
      <c r="C19" s="43">
        <v>8200</v>
      </c>
      <c r="D19" s="22" t="s">
        <v>133</v>
      </c>
    </row>
    <row r="20" spans="1:4" ht="18" thickBot="1" x14ac:dyDescent="0.35">
      <c r="A20" s="251" t="s">
        <v>173</v>
      </c>
      <c r="B20" s="89" t="s">
        <v>166</v>
      </c>
      <c r="C20" s="170">
        <f>C18*C19</f>
        <v>393600</v>
      </c>
    </row>
    <row r="21" spans="1:4" ht="21" thickBot="1" x14ac:dyDescent="0.4">
      <c r="A21" s="652" t="s">
        <v>176</v>
      </c>
      <c r="B21" s="653"/>
      <c r="C21" s="654"/>
    </row>
    <row r="22" spans="1:4" ht="15" x14ac:dyDescent="0.25">
      <c r="A22" s="51" t="s">
        <v>208</v>
      </c>
      <c r="B22" s="52" t="s">
        <v>210</v>
      </c>
      <c r="C22" s="53">
        <v>220</v>
      </c>
    </row>
    <row r="23" spans="1:4" ht="15" x14ac:dyDescent="0.25">
      <c r="A23" s="54" t="s">
        <v>209</v>
      </c>
      <c r="B23" s="55" t="s">
        <v>210</v>
      </c>
      <c r="C23" s="56">
        <v>18</v>
      </c>
    </row>
    <row r="24" spans="1:4" ht="17.399999999999999" x14ac:dyDescent="0.3">
      <c r="A24" s="291" t="s">
        <v>211</v>
      </c>
      <c r="B24" s="92" t="s">
        <v>32</v>
      </c>
      <c r="C24" s="172">
        <f>C3*C22</f>
        <v>24756820</v>
      </c>
    </row>
    <row r="25" spans="1:4" ht="18" thickBot="1" x14ac:dyDescent="0.35">
      <c r="A25" s="292" t="s">
        <v>212</v>
      </c>
      <c r="B25" s="93" t="s">
        <v>32</v>
      </c>
      <c r="C25" s="173">
        <f>C3*C23</f>
        <v>2025558</v>
      </c>
    </row>
    <row r="26" spans="1:4" ht="21" thickBot="1" x14ac:dyDescent="0.4">
      <c r="A26" s="649" t="s">
        <v>177</v>
      </c>
      <c r="B26" s="650"/>
      <c r="C26" s="651"/>
    </row>
    <row r="27" spans="1:4" ht="17.399999999999999" x14ac:dyDescent="0.3">
      <c r="A27" s="293" t="s">
        <v>213</v>
      </c>
      <c r="B27" s="94" t="s">
        <v>166</v>
      </c>
      <c r="C27" s="174">
        <f>C24*0.01</f>
        <v>247568.2</v>
      </c>
    </row>
    <row r="28" spans="1:4" ht="18" thickBot="1" x14ac:dyDescent="0.35">
      <c r="A28" s="294" t="s">
        <v>214</v>
      </c>
      <c r="B28" s="95" t="s">
        <v>166</v>
      </c>
      <c r="C28" s="175">
        <f>C25*0.03</f>
        <v>60766.74</v>
      </c>
    </row>
    <row r="29" spans="1:4" ht="21" thickBot="1" x14ac:dyDescent="0.4">
      <c r="A29" s="649" t="s">
        <v>178</v>
      </c>
      <c r="B29" s="650"/>
      <c r="C29" s="651"/>
    </row>
    <row r="30" spans="1:4" ht="18.899999999999999" customHeight="1" x14ac:dyDescent="0.3">
      <c r="A30" s="295" t="s">
        <v>240</v>
      </c>
      <c r="B30" s="96" t="s">
        <v>166</v>
      </c>
      <c r="C30" s="176">
        <f>C24/40</f>
        <v>618920.5</v>
      </c>
    </row>
    <row r="31" spans="1:4" ht="18.75" customHeight="1" thickBot="1" x14ac:dyDescent="0.35">
      <c r="A31" s="291" t="s">
        <v>241</v>
      </c>
      <c r="B31" s="92" t="s">
        <v>166</v>
      </c>
      <c r="C31" s="172">
        <f>C25/15</f>
        <v>135037.20000000001</v>
      </c>
    </row>
    <row r="32" spans="1:4" ht="18.75" customHeight="1" thickBot="1" x14ac:dyDescent="0.4">
      <c r="A32" s="643" t="s">
        <v>358</v>
      </c>
      <c r="B32" s="644"/>
      <c r="C32" s="645"/>
    </row>
    <row r="33" spans="1:4" ht="18.75" customHeight="1" x14ac:dyDescent="0.3">
      <c r="A33" s="296" t="s">
        <v>242</v>
      </c>
      <c r="B33" s="131" t="s">
        <v>166</v>
      </c>
      <c r="C33" s="343">
        <f>'Su-Atıksu Amortisman '!G34</f>
        <v>902846.54596598702</v>
      </c>
    </row>
    <row r="34" spans="1:4" ht="21" thickBot="1" x14ac:dyDescent="0.4">
      <c r="A34" s="640" t="s">
        <v>243</v>
      </c>
      <c r="B34" s="641"/>
      <c r="C34" s="642"/>
    </row>
    <row r="35" spans="1:4" ht="18" thickBot="1" x14ac:dyDescent="0.35">
      <c r="A35" s="297" t="s">
        <v>215</v>
      </c>
      <c r="B35" s="129" t="s">
        <v>166</v>
      </c>
      <c r="C35" s="177">
        <v>100000</v>
      </c>
    </row>
    <row r="36" spans="1:4" ht="21" thickBot="1" x14ac:dyDescent="0.4">
      <c r="A36" s="652" t="s">
        <v>216</v>
      </c>
      <c r="B36" s="653"/>
      <c r="C36" s="654"/>
    </row>
    <row r="37" spans="1:4" ht="15" x14ac:dyDescent="0.25">
      <c r="A37" s="30" t="s">
        <v>216</v>
      </c>
      <c r="B37" s="437" t="s">
        <v>26</v>
      </c>
      <c r="C37" s="44">
        <v>10</v>
      </c>
    </row>
    <row r="38" spans="1:4" ht="18" thickBot="1" x14ac:dyDescent="0.35">
      <c r="A38" s="251" t="s">
        <v>217</v>
      </c>
      <c r="B38" s="89" t="s">
        <v>166</v>
      </c>
      <c r="C38" s="170">
        <f>(C11+C12+C16+C20+C27+C28+C30+C31+C35)*C37/100</f>
        <v>196006.94968502934</v>
      </c>
    </row>
    <row r="39" spans="1:4" ht="18" thickBot="1" x14ac:dyDescent="0.35">
      <c r="A39" s="637" t="s">
        <v>359</v>
      </c>
      <c r="B39" s="638"/>
      <c r="C39" s="639"/>
    </row>
    <row r="40" spans="1:4" ht="17.399999999999999" x14ac:dyDescent="0.3">
      <c r="A40" s="320" t="s">
        <v>221</v>
      </c>
      <c r="B40" s="430">
        <f>C41/C42</f>
        <v>0.11268071928046558</v>
      </c>
      <c r="C40" s="431"/>
    </row>
    <row r="41" spans="1:4" ht="18.75" customHeight="1" thickBot="1" x14ac:dyDescent="0.35">
      <c r="A41" s="298" t="s">
        <v>244</v>
      </c>
      <c r="B41" s="164" t="s">
        <v>166</v>
      </c>
      <c r="C41" s="178">
        <f>'Genel Maliyetler'!D50/'TARİFE HESAP DİYGRAMI-KURALLARI'!B2</f>
        <v>267816.72410901956</v>
      </c>
    </row>
    <row r="42" spans="1:4" ht="24" thickBot="1" x14ac:dyDescent="0.45">
      <c r="A42" s="427" t="s">
        <v>223</v>
      </c>
      <c r="B42" s="428" t="s">
        <v>166</v>
      </c>
      <c r="C42" s="429">
        <f>(C11+C12+C16+C20+C27+C28+IF(C33&gt;0,C33,(C30+C31))+C35+IF(C41&gt;0,C41,C38))</f>
        <v>2376775.0669253003</v>
      </c>
      <c r="D42" s="210"/>
    </row>
    <row r="43" spans="1:4" ht="24" thickBot="1" x14ac:dyDescent="0.45">
      <c r="A43" s="324" t="s">
        <v>222</v>
      </c>
      <c r="B43" s="326" t="s">
        <v>167</v>
      </c>
      <c r="C43" s="325">
        <f>C42*'TARİFE HESAP DİYGRAMI-KURALLARI'!B2</f>
        <v>20202588.068865053</v>
      </c>
    </row>
    <row r="44" spans="1:4" ht="27" customHeight="1" thickBot="1" x14ac:dyDescent="0.5">
      <c r="A44" s="327" t="s">
        <v>224</v>
      </c>
      <c r="B44" s="329" t="s">
        <v>128</v>
      </c>
      <c r="C44" s="328">
        <f>C43/C5</f>
        <v>3.1773935502087971</v>
      </c>
    </row>
    <row r="45" spans="1:4" ht="21" thickBot="1" x14ac:dyDescent="0.4">
      <c r="A45" s="646" t="s">
        <v>139</v>
      </c>
      <c r="B45" s="647"/>
      <c r="C45" s="648"/>
    </row>
    <row r="48" spans="1:4" x14ac:dyDescent="0.25">
      <c r="B48" s="210">
        <f>'Su Temini hizmetleri'!C11+'Su Temini hizmetleri'!C12+'Su Temini hizmetleri'!C16+'Su Temini hizmetleri'!C20+'Su Temini hizmetleri'!C27+'Su Temini hizmetleri'!C28</f>
        <v>1106111.7968502936</v>
      </c>
    </row>
  </sheetData>
  <mergeCells count="13">
    <mergeCell ref="A21:C21"/>
    <mergeCell ref="A1:C1"/>
    <mergeCell ref="A7:C7"/>
    <mergeCell ref="A13:C13"/>
    <mergeCell ref="A17:C17"/>
    <mergeCell ref="A2:C2"/>
    <mergeCell ref="A39:C39"/>
    <mergeCell ref="A34:C34"/>
    <mergeCell ref="A32:C32"/>
    <mergeCell ref="A45:C45"/>
    <mergeCell ref="A26:C26"/>
    <mergeCell ref="A29:C29"/>
    <mergeCell ref="A36:C36"/>
  </mergeCells>
  <hyperlinks>
    <hyperlink ref="A45:C45" location="' Veri Girişi ve Sonuç Tablosu'!A29" display="VERİ GİRİŞİ YAPILDIYSA GERİ DÖNMEK İÇİN TIKLAYINIZ" xr:uid="{00000000-0004-0000-0400-00000000000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48"/>
  <sheetViews>
    <sheetView topLeftCell="A19" zoomScale="85" zoomScaleNormal="85" zoomScalePageLayoutView="85" workbookViewId="0">
      <selection activeCell="C47" sqref="C47"/>
    </sheetView>
  </sheetViews>
  <sheetFormatPr defaultColWidth="8.88671875" defaultRowHeight="13.2" x14ac:dyDescent="0.25"/>
  <cols>
    <col min="1" max="1" width="77.88671875" style="3" customWidth="1"/>
    <col min="2" max="2" width="30.44140625" style="3" customWidth="1"/>
    <col min="3" max="3" width="40.44140625" style="3" customWidth="1"/>
    <col min="4" max="4" width="8.88671875" style="3" customWidth="1"/>
    <col min="5" max="5" width="11.88671875" style="3" customWidth="1"/>
    <col min="6" max="7" width="8.88671875" style="3" customWidth="1"/>
    <col min="8" max="8" width="62.109375" style="3" customWidth="1"/>
    <col min="9" max="52" width="8.88671875" style="68" customWidth="1"/>
    <col min="53" max="255" width="8.88671875" customWidth="1"/>
  </cols>
  <sheetData>
    <row r="1" spans="1:5" ht="35.25" customHeight="1" thickBot="1" x14ac:dyDescent="0.5">
      <c r="A1" s="663" t="s">
        <v>220</v>
      </c>
      <c r="B1" s="664"/>
      <c r="C1" s="665"/>
    </row>
    <row r="2" spans="1:5" ht="21" thickBot="1" x14ac:dyDescent="0.3">
      <c r="A2" s="666" t="s">
        <v>157</v>
      </c>
      <c r="B2" s="667"/>
      <c r="C2" s="668"/>
    </row>
    <row r="3" spans="1:5" ht="15" x14ac:dyDescent="0.25">
      <c r="A3" s="247" t="s">
        <v>155</v>
      </c>
      <c r="B3" s="299" t="s">
        <v>165</v>
      </c>
      <c r="C3" s="84">
        <f>'Su Temini hizmetleri'!C3</f>
        <v>112531</v>
      </c>
    </row>
    <row r="4" spans="1:5" ht="27" customHeight="1" x14ac:dyDescent="0.25">
      <c r="A4" s="207" t="str">
        <f>' Veri Girişi ve Sonuç Tablosu'!A19</f>
        <v>Tüketilen (Su m3/yıl)</v>
      </c>
      <c r="B4" s="336">
        <f>'Genel Maliyetler'!C4+('Su Temini hizmetleri'!C20+'Atıksu Hizmetleri'!C23)</f>
        <v>2600593.110177048</v>
      </c>
      <c r="C4" s="208">
        <f>' Veri Girişi ve Sonuç Tablosu'!B19</f>
        <v>7064696.1799999997</v>
      </c>
    </row>
    <row r="5" spans="1:5" ht="15" x14ac:dyDescent="0.25">
      <c r="A5" s="248" t="s">
        <v>225</v>
      </c>
      <c r="B5" s="254" t="s">
        <v>163</v>
      </c>
      <c r="C5" s="85">
        <f>' Veri Girişi ve Sonuç Tablosu'!B20</f>
        <v>6358226.5619999999</v>
      </c>
    </row>
    <row r="6" spans="1:5" ht="15" x14ac:dyDescent="0.25">
      <c r="A6" s="248" t="s">
        <v>226</v>
      </c>
      <c r="B6" s="254" t="s">
        <v>230</v>
      </c>
      <c r="C6" s="85">
        <v>80</v>
      </c>
      <c r="D6" s="370" t="s">
        <v>133</v>
      </c>
    </row>
    <row r="7" spans="1:5" ht="15" x14ac:dyDescent="0.25">
      <c r="A7" s="248" t="s">
        <v>227</v>
      </c>
      <c r="B7" s="254" t="s">
        <v>163</v>
      </c>
      <c r="C7" s="85">
        <f>C4*C6/100</f>
        <v>5651756.9440000001</v>
      </c>
    </row>
    <row r="8" spans="1:5" ht="15" x14ac:dyDescent="0.25">
      <c r="A8" s="248" t="s">
        <v>228</v>
      </c>
      <c r="B8" s="39" t="s">
        <v>33</v>
      </c>
      <c r="C8" s="85">
        <v>30</v>
      </c>
      <c r="D8" s="370" t="s">
        <v>133</v>
      </c>
    </row>
    <row r="9" spans="1:5" ht="15.6" thickBot="1" x14ac:dyDescent="0.3">
      <c r="A9" s="249" t="s">
        <v>229</v>
      </c>
      <c r="B9" s="300" t="s">
        <v>163</v>
      </c>
      <c r="C9" s="86">
        <f>C7*(1+C8/100)</f>
        <v>7347284.0272000004</v>
      </c>
    </row>
    <row r="10" spans="1:5" ht="21" thickBot="1" x14ac:dyDescent="0.3">
      <c r="A10" s="669" t="s">
        <v>179</v>
      </c>
      <c r="B10" s="670"/>
      <c r="C10" s="671"/>
    </row>
    <row r="11" spans="1:5" ht="15" x14ac:dyDescent="0.25">
      <c r="A11" s="301" t="s">
        <v>231</v>
      </c>
      <c r="B11" s="120" t="s">
        <v>28</v>
      </c>
      <c r="C11" s="134">
        <v>9.1999999999999998E-2</v>
      </c>
      <c r="D11" s="370" t="s">
        <v>133</v>
      </c>
      <c r="E11" s="370"/>
    </row>
    <row r="12" spans="1:5" ht="15" x14ac:dyDescent="0.25">
      <c r="A12" s="302" t="s">
        <v>232</v>
      </c>
      <c r="B12" s="136" t="s">
        <v>29</v>
      </c>
      <c r="C12" s="135">
        <v>0.32</v>
      </c>
      <c r="D12" s="370" t="s">
        <v>133</v>
      </c>
      <c r="E12" s="370"/>
    </row>
    <row r="13" spans="1:5" ht="15" x14ac:dyDescent="0.25">
      <c r="A13" s="302" t="s">
        <v>233</v>
      </c>
      <c r="B13" s="303" t="s">
        <v>330</v>
      </c>
      <c r="C13" s="179">
        <v>25</v>
      </c>
      <c r="D13" s="370" t="s">
        <v>133</v>
      </c>
      <c r="E13" s="370"/>
    </row>
    <row r="14" spans="1:5" ht="15" x14ac:dyDescent="0.25">
      <c r="A14" s="302" t="s">
        <v>234</v>
      </c>
      <c r="B14" s="136" t="s">
        <v>30</v>
      </c>
      <c r="C14" s="179">
        <v>8</v>
      </c>
      <c r="D14" s="370" t="s">
        <v>133</v>
      </c>
      <c r="E14" s="370"/>
    </row>
    <row r="15" spans="1:5" ht="15" x14ac:dyDescent="0.25">
      <c r="A15" s="304" t="s">
        <v>235</v>
      </c>
      <c r="B15" s="306" t="s">
        <v>166</v>
      </c>
      <c r="C15" s="184">
        <f>C9*C12*C11</f>
        <v>216304.04176076801</v>
      </c>
    </row>
    <row r="16" spans="1:5" ht="15.6" thickBot="1" x14ac:dyDescent="0.3">
      <c r="A16" s="305" t="s">
        <v>236</v>
      </c>
      <c r="B16" s="307" t="s">
        <v>166</v>
      </c>
      <c r="C16" s="185">
        <f>C9*(C13/100)*C14*C11/256.88</f>
        <v>5262.7696239676116</v>
      </c>
    </row>
    <row r="17" spans="1:4" ht="21" thickBot="1" x14ac:dyDescent="0.3">
      <c r="A17" s="672" t="s">
        <v>174</v>
      </c>
      <c r="B17" s="670"/>
      <c r="C17" s="673"/>
    </row>
    <row r="18" spans="1:4" ht="15" x14ac:dyDescent="0.25">
      <c r="A18" s="257" t="s">
        <v>237</v>
      </c>
      <c r="B18" s="123" t="s">
        <v>31</v>
      </c>
      <c r="C18" s="122">
        <v>1.7000000000000001E-2</v>
      </c>
      <c r="D18" s="370" t="s">
        <v>133</v>
      </c>
    </row>
    <row r="19" spans="1:4" ht="15.6" thickBot="1" x14ac:dyDescent="0.3">
      <c r="A19" s="249" t="s">
        <v>238</v>
      </c>
      <c r="B19" s="300" t="s">
        <v>166</v>
      </c>
      <c r="C19" s="186">
        <f>C9*C18</f>
        <v>124903.82846240001</v>
      </c>
    </row>
    <row r="20" spans="1:4" ht="21" thickBot="1" x14ac:dyDescent="0.3">
      <c r="A20" s="672" t="s">
        <v>175</v>
      </c>
      <c r="B20" s="670"/>
      <c r="C20" s="673"/>
    </row>
    <row r="21" spans="1:4" ht="15" x14ac:dyDescent="0.25">
      <c r="A21" s="45" t="s">
        <v>239</v>
      </c>
      <c r="B21" s="308" t="s">
        <v>165</v>
      </c>
      <c r="C21" s="121">
        <v>30</v>
      </c>
      <c r="D21" s="370" t="s">
        <v>133</v>
      </c>
    </row>
    <row r="22" spans="1:4" ht="15" x14ac:dyDescent="0.25">
      <c r="A22" s="48" t="s">
        <v>172</v>
      </c>
      <c r="B22" s="309" t="s">
        <v>166</v>
      </c>
      <c r="C22" s="180">
        <v>8200</v>
      </c>
      <c r="D22" s="370" t="s">
        <v>133</v>
      </c>
    </row>
    <row r="23" spans="1:4" ht="15.6" thickBot="1" x14ac:dyDescent="0.3">
      <c r="A23" s="311" t="s">
        <v>173</v>
      </c>
      <c r="B23" s="310" t="s">
        <v>166</v>
      </c>
      <c r="C23" s="187">
        <f>C21*C22</f>
        <v>246000</v>
      </c>
    </row>
    <row r="24" spans="1:4" ht="21" thickBot="1" x14ac:dyDescent="0.3">
      <c r="A24" s="672" t="s">
        <v>176</v>
      </c>
      <c r="B24" s="670"/>
      <c r="C24" s="673"/>
    </row>
    <row r="25" spans="1:4" ht="14.25" customHeight="1" x14ac:dyDescent="0.25">
      <c r="A25" s="117" t="s">
        <v>208</v>
      </c>
      <c r="B25" s="312" t="s">
        <v>210</v>
      </c>
      <c r="C25" s="181">
        <v>300</v>
      </c>
    </row>
    <row r="26" spans="1:4" ht="15" x14ac:dyDescent="0.25">
      <c r="A26" s="82" t="s">
        <v>209</v>
      </c>
      <c r="B26" s="313" t="s">
        <v>210</v>
      </c>
      <c r="C26" s="182">
        <v>25</v>
      </c>
    </row>
    <row r="27" spans="1:4" ht="15" x14ac:dyDescent="0.25">
      <c r="A27" s="38" t="s">
        <v>211</v>
      </c>
      <c r="B27" s="87" t="s">
        <v>32</v>
      </c>
      <c r="C27" s="188">
        <f>C3*C25</f>
        <v>33759300</v>
      </c>
    </row>
    <row r="28" spans="1:4" ht="15.6" thickBot="1" x14ac:dyDescent="0.3">
      <c r="A28" s="41" t="s">
        <v>212</v>
      </c>
      <c r="B28" s="119" t="s">
        <v>32</v>
      </c>
      <c r="C28" s="186">
        <f>C3*C26</f>
        <v>2813275</v>
      </c>
    </row>
    <row r="29" spans="1:4" ht="21" thickBot="1" x14ac:dyDescent="0.3">
      <c r="A29" s="680" t="s">
        <v>177</v>
      </c>
      <c r="B29" s="681"/>
      <c r="C29" s="682"/>
    </row>
    <row r="30" spans="1:4" ht="15" x14ac:dyDescent="0.25">
      <c r="A30" s="315" t="s">
        <v>285</v>
      </c>
      <c r="B30" s="439" t="s">
        <v>166</v>
      </c>
      <c r="C30" s="440">
        <f>C27*0.01</f>
        <v>337593</v>
      </c>
    </row>
    <row r="31" spans="1:4" ht="15.6" thickBot="1" x14ac:dyDescent="0.3">
      <c r="A31" s="316" t="s">
        <v>286</v>
      </c>
      <c r="B31" s="310" t="s">
        <v>166</v>
      </c>
      <c r="C31" s="187">
        <f>C28*0.03</f>
        <v>84398.25</v>
      </c>
    </row>
    <row r="32" spans="1:4" ht="21" thickBot="1" x14ac:dyDescent="0.3">
      <c r="A32" s="672" t="s">
        <v>178</v>
      </c>
      <c r="B32" s="670"/>
      <c r="C32" s="673"/>
    </row>
    <row r="33" spans="1:3" ht="15" x14ac:dyDescent="0.25">
      <c r="A33" s="247" t="s">
        <v>324</v>
      </c>
      <c r="B33" s="299" t="s">
        <v>166</v>
      </c>
      <c r="C33" s="190">
        <f>C27/40</f>
        <v>843982.5</v>
      </c>
    </row>
    <row r="34" spans="1:3" ht="15.6" thickBot="1" x14ac:dyDescent="0.3">
      <c r="A34" s="249" t="s">
        <v>325</v>
      </c>
      <c r="B34" s="300" t="s">
        <v>166</v>
      </c>
      <c r="C34" s="186">
        <f>C28/15</f>
        <v>187551.66666666666</v>
      </c>
    </row>
    <row r="35" spans="1:3" ht="21" thickBot="1" x14ac:dyDescent="0.3">
      <c r="A35" s="680" t="s">
        <v>287</v>
      </c>
      <c r="B35" s="681"/>
      <c r="C35" s="682"/>
    </row>
    <row r="36" spans="1:3" ht="15.6" thickBot="1" x14ac:dyDescent="0.3">
      <c r="A36" s="340" t="s">
        <v>242</v>
      </c>
      <c r="B36" s="341" t="s">
        <v>166</v>
      </c>
      <c r="C36" s="342">
        <f>'Su-Atıksu Amortisman '!G73</f>
        <v>1157800</v>
      </c>
    </row>
    <row r="37" spans="1:3" ht="21" thickBot="1" x14ac:dyDescent="0.3">
      <c r="A37" s="672" t="s">
        <v>243</v>
      </c>
      <c r="B37" s="670"/>
      <c r="C37" s="673"/>
    </row>
    <row r="38" spans="1:3" ht="15" x14ac:dyDescent="0.25">
      <c r="A38" s="317" t="s">
        <v>215</v>
      </c>
      <c r="B38" s="314" t="s">
        <v>166</v>
      </c>
      <c r="C38" s="189">
        <v>300000</v>
      </c>
    </row>
    <row r="39" spans="1:3" ht="21" thickBot="1" x14ac:dyDescent="0.3">
      <c r="A39" s="674" t="s">
        <v>246</v>
      </c>
      <c r="B39" s="675"/>
      <c r="C39" s="676"/>
    </row>
    <row r="40" spans="1:3" ht="15" x14ac:dyDescent="0.25">
      <c r="A40" s="247" t="s">
        <v>326</v>
      </c>
      <c r="B40" s="118" t="s">
        <v>26</v>
      </c>
      <c r="C40" s="321">
        <v>10</v>
      </c>
    </row>
    <row r="41" spans="1:3" ht="15.6" thickBot="1" x14ac:dyDescent="0.3">
      <c r="A41" s="249" t="s">
        <v>217</v>
      </c>
      <c r="B41" s="42"/>
      <c r="C41" s="86">
        <f>(C38+C36+C31+C30+C23+C19+C16+C15)*C40/100</f>
        <v>247226.18898471355</v>
      </c>
    </row>
    <row r="42" spans="1:3" ht="18" thickBot="1" x14ac:dyDescent="0.3">
      <c r="A42" s="677" t="s">
        <v>218</v>
      </c>
      <c r="B42" s="678"/>
      <c r="C42" s="679"/>
    </row>
    <row r="43" spans="1:3" ht="15" x14ac:dyDescent="0.25">
      <c r="A43" s="320" t="s">
        <v>221</v>
      </c>
      <c r="B43" s="438">
        <f>C44/C45</f>
        <v>9.0373866039775985E-2</v>
      </c>
      <c r="C43" s="121"/>
    </row>
    <row r="44" spans="1:3" ht="18.899999999999999" customHeight="1" thickBot="1" x14ac:dyDescent="0.3">
      <c r="A44" s="319" t="s">
        <v>244</v>
      </c>
      <c r="B44" s="310" t="s">
        <v>166</v>
      </c>
      <c r="C44" s="187">
        <f>'Genel Maliyetler'!D51/'TARİFE HESAP DİYGRAMI-KURALLARI'!B2</f>
        <v>245626.03965164712</v>
      </c>
    </row>
    <row r="45" spans="1:3" ht="24" thickBot="1" x14ac:dyDescent="0.45">
      <c r="A45" s="322" t="s">
        <v>223</v>
      </c>
      <c r="B45" s="331" t="s">
        <v>166</v>
      </c>
      <c r="C45" s="318">
        <f>(C15+C16+C19+C23+C30+C31+IF(C36&gt;0,C36,(C33+C34)))+C38+IF(C44&gt;0,C44,C41)</f>
        <v>2717887.9294987828</v>
      </c>
    </row>
    <row r="46" spans="1:3" ht="24" thickBot="1" x14ac:dyDescent="0.45">
      <c r="A46" s="322" t="s">
        <v>222</v>
      </c>
      <c r="B46" s="349" t="s">
        <v>167</v>
      </c>
      <c r="C46" s="183">
        <f>C45*'TARİFE HESAP DİYGRAMI-KURALLARI'!B2</f>
        <v>23102047.400739655</v>
      </c>
    </row>
    <row r="47" spans="1:3" ht="24" thickBot="1" x14ac:dyDescent="0.45">
      <c r="A47" s="323" t="s">
        <v>245</v>
      </c>
      <c r="B47" s="83" t="s">
        <v>127</v>
      </c>
      <c r="C47" s="130">
        <f>C46/C5</f>
        <v>3.6334105391602836</v>
      </c>
    </row>
    <row r="48" spans="1:3" ht="24" thickBot="1" x14ac:dyDescent="0.45">
      <c r="A48" s="660" t="s">
        <v>139</v>
      </c>
      <c r="B48" s="661"/>
      <c r="C48" s="662"/>
    </row>
  </sheetData>
  <mergeCells count="13">
    <mergeCell ref="A48:C48"/>
    <mergeCell ref="A1:C1"/>
    <mergeCell ref="A2:C2"/>
    <mergeCell ref="A10:C10"/>
    <mergeCell ref="A17:C17"/>
    <mergeCell ref="A20:C20"/>
    <mergeCell ref="A37:C37"/>
    <mergeCell ref="A39:C39"/>
    <mergeCell ref="A42:C42"/>
    <mergeCell ref="A35:C35"/>
    <mergeCell ref="A24:C24"/>
    <mergeCell ref="A29:C29"/>
    <mergeCell ref="A32:C32"/>
  </mergeCells>
  <hyperlinks>
    <hyperlink ref="A48" location="' Veri Girişi ve Sonuç Tablosu'!A32" display="VERİ GİRİŞİ YAPILDIYSA GERİ DÖNMEK İÇİN TIKLAYINIZ" xr:uid="{00000000-0004-0000-0500-000000000000}"/>
    <hyperlink ref="A48:C48" location="' Veri Girişi ve Sonuç Tablosu'!A39" display="VERİ GİRİŞİ YAPILDIYSA GERİ DÖNMEK İÇİN TIKLAYINIZ" xr:uid="{00000000-0004-0000-0500-000001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showGridLines="0" workbookViewId="0">
      <selection activeCell="M19" sqref="M19"/>
    </sheetView>
  </sheetViews>
  <sheetFormatPr defaultColWidth="8.88671875" defaultRowHeight="13.2" x14ac:dyDescent="0.25"/>
  <cols>
    <col min="1" max="1" width="21.6640625" style="68" customWidth="1"/>
    <col min="2" max="2" width="12.6640625" style="68" bestFit="1" customWidth="1"/>
    <col min="3" max="3" width="8.88671875" style="68"/>
    <col min="4" max="4" width="21.109375" style="68" customWidth="1"/>
    <col min="5" max="5" width="11.88671875" style="68" bestFit="1" customWidth="1"/>
    <col min="6" max="16384" width="8.88671875" style="68"/>
  </cols>
  <sheetData>
    <row r="1" spans="1:2" x14ac:dyDescent="0.25">
      <c r="A1" s="683" t="s">
        <v>307</v>
      </c>
      <c r="B1" s="684"/>
    </row>
    <row r="2" spans="1:2" x14ac:dyDescent="0.25">
      <c r="A2" s="140" t="s">
        <v>302</v>
      </c>
      <c r="B2" s="441">
        <f>IF(' Veri Girişi ve Sonuç Tablosu'!C4=0,0,('Genel Maliyetler'!C39+'Genel Maliyetler'!B40+('Su Temini hizmetleri'!C11+'Su Temini hizmetleri'!C12+'Atıksu Hizmetleri'!C15+'Atıksu Hizmetleri'!C16)*'TARİFE HESAP DİYGRAMI-KURALLARI'!B2))</f>
        <v>6428501.2884394247</v>
      </c>
    </row>
    <row r="3" spans="1:2" x14ac:dyDescent="0.25">
      <c r="A3" s="140" t="s">
        <v>303</v>
      </c>
      <c r="B3" s="441">
        <f>'Genel Maliyetler'!C38+('Su Temini hizmetleri'!C16+'Atıksu Hizmetleri'!C19)*'TARİFE HESAP DİYGRAMI-KURALLARI'!B2</f>
        <v>2384947.4820252266</v>
      </c>
    </row>
    <row r="4" spans="1:2" x14ac:dyDescent="0.25">
      <c r="A4" s="140" t="s">
        <v>282</v>
      </c>
      <c r="B4" s="441">
        <f>'Genel Maliyetler'!C12+'Genel Maliyetler'!C13+'Genel Maliyetler'!C17+'Genel Maliyetler'!C18+'Genel Maliyetler'!C19+'Genel Maliyetler'!C20+'Genel Maliyetler'!C27+'Genel Maliyetler'!C31+'Genel Maliyetler'!C32+'Genel Maliyetler'!C33+'Genel Maliyetler'!C34+'Genel Maliyetler'!C42</f>
        <v>1156008.6541645653</v>
      </c>
    </row>
    <row r="5" spans="1:2" x14ac:dyDescent="0.25">
      <c r="A5" s="337" t="s">
        <v>0</v>
      </c>
      <c r="B5" s="442">
        <f>SUM(B2:B4)</f>
        <v>9969457.424629217</v>
      </c>
    </row>
    <row r="7" spans="1:2" x14ac:dyDescent="0.25">
      <c r="A7" s="683" t="s">
        <v>308</v>
      </c>
      <c r="B7" s="684"/>
    </row>
    <row r="8" spans="1:2" x14ac:dyDescent="0.25">
      <c r="A8" s="140" t="s">
        <v>280</v>
      </c>
      <c r="B8" s="441">
        <f>'Genel Maliyetler'!C8+'Genel Maliyetler'!C15+'Genel Maliyetler'!C22+'Genel Maliyetler'!C36+IF('Su Temini hizmetleri'!C33&gt;0,'Su Temini hizmetleri'!C33,('Su Temini hizmetleri'!C30+'Su Temini hizmetleri'!C31))*'TARİFE HESAP DİYGRAMI-KURALLARI'!B2+IF('Atıksu Hizmetleri'!C36&gt;0,'Atıksu Hizmetleri'!C36,('Atıksu Hizmetleri'!C33+'Atıksu Hizmetleri'!C34))*'TARİFE HESAP DİYGRAMI-KURALLARI'!B2</f>
        <v>17664968.395988323</v>
      </c>
    </row>
    <row r="9" spans="1:2" x14ac:dyDescent="0.25">
      <c r="A9" s="140" t="s">
        <v>304</v>
      </c>
      <c r="B9" s="441">
        <f>'Genel Maliyetler'!C4+('Su Temini hizmetleri'!C20+'Atıksu Hizmetleri'!C23)*'TARİFE HESAP DİYGRAMI-KURALLARI'!B2</f>
        <v>7397593.1101770476</v>
      </c>
    </row>
    <row r="10" spans="1:2" x14ac:dyDescent="0.25">
      <c r="A10" s="140" t="s">
        <v>305</v>
      </c>
      <c r="B10" s="441">
        <f>'Genel Maliyetler'!C23+'Genel Maliyetler'!C24+'Genel Maliyetler'!C25+'Genel Maliyetler'!C26+(('Su Temini hizmetleri'!C27+'Su Temini hizmetleri'!C28+'Atıksu Hizmetleri'!C30+'Atıksu Hizmetleri'!C31)*'TARİFE HESAP DİYGRAMI-KURALLARI'!B2)+'Genel Maliyetler'!C9+'Genel Maliyetler'!C16+'Genel Maliyetler'!C37</f>
        <v>6791169.6279705754</v>
      </c>
    </row>
    <row r="11" spans="1:2" x14ac:dyDescent="0.25">
      <c r="A11" s="140" t="s">
        <v>306</v>
      </c>
      <c r="B11" s="441">
        <f>'Genel Maliyetler'!C41+(('Su Temini hizmetleri'!C35+'Atıksu Hizmetleri'!C38)*'TARİFE HESAP DİYGRAMI-KURALLARI'!B2)</f>
        <v>3413043.6109466595</v>
      </c>
    </row>
    <row r="12" spans="1:2" x14ac:dyDescent="0.25">
      <c r="A12" s="337" t="s">
        <v>0</v>
      </c>
      <c r="B12" s="442">
        <f>SUM(B8:B11)</f>
        <v>35266774.745082609</v>
      </c>
    </row>
  </sheetData>
  <mergeCells count="2">
    <mergeCell ref="A7:B7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7"/>
  <sheetViews>
    <sheetView workbookViewId="0">
      <selection activeCell="A17" sqref="A17:C17"/>
    </sheetView>
  </sheetViews>
  <sheetFormatPr defaultColWidth="8.88671875" defaultRowHeight="13.2" x14ac:dyDescent="0.25"/>
  <cols>
    <col min="1" max="1" width="65.88671875" style="3" bestFit="1" customWidth="1"/>
    <col min="2" max="2" width="19.88671875" style="3" customWidth="1"/>
    <col min="3" max="3" width="21.44140625" style="3" customWidth="1"/>
    <col min="4" max="5" width="8.88671875" style="3" customWidth="1"/>
    <col min="6" max="6" width="9.5546875" style="3" customWidth="1"/>
    <col min="7" max="48" width="8.88671875" style="68" customWidth="1"/>
    <col min="49" max="255" width="8.88671875" customWidth="1"/>
  </cols>
  <sheetData>
    <row r="1" spans="1:6" ht="20.25" customHeight="1" thickBot="1" x14ac:dyDescent="0.3">
      <c r="A1" s="685" t="s">
        <v>70</v>
      </c>
      <c r="B1" s="686"/>
      <c r="C1" s="687"/>
    </row>
    <row r="2" spans="1:6" ht="13.8" thickBot="1" x14ac:dyDescent="0.3">
      <c r="A2" s="57" t="s">
        <v>1</v>
      </c>
      <c r="B2" s="58" t="s">
        <v>180</v>
      </c>
      <c r="C2" s="59" t="s">
        <v>72</v>
      </c>
    </row>
    <row r="3" spans="1:6" x14ac:dyDescent="0.25">
      <c r="A3" s="290" t="s">
        <v>260</v>
      </c>
      <c r="B3" s="332" t="s">
        <v>163</v>
      </c>
      <c r="C3" s="60">
        <f>' Veri Girişi ve Sonuç Tablosu'!C47</f>
        <v>96170000</v>
      </c>
    </row>
    <row r="4" spans="1:6" x14ac:dyDescent="0.25">
      <c r="A4" s="333" t="s">
        <v>251</v>
      </c>
      <c r="B4" s="13" t="s">
        <v>163</v>
      </c>
      <c r="C4" s="61">
        <f>' Veri Girişi ve Sonuç Tablosu'!C48</f>
        <v>77950000</v>
      </c>
      <c r="F4" s="4"/>
    </row>
    <row r="5" spans="1:6" x14ac:dyDescent="0.25">
      <c r="A5" s="333" t="s">
        <v>252</v>
      </c>
      <c r="B5" s="13" t="s">
        <v>163</v>
      </c>
      <c r="C5" s="61">
        <f>+C3-C4</f>
        <v>18220000</v>
      </c>
    </row>
    <row r="6" spans="1:6" x14ac:dyDescent="0.25">
      <c r="A6" s="333" t="s">
        <v>253</v>
      </c>
      <c r="B6" s="13" t="s">
        <v>163</v>
      </c>
      <c r="C6" s="61">
        <f>' Veri Girişi ve Sonuç Tablosu'!C49</f>
        <v>14500000</v>
      </c>
    </row>
    <row r="7" spans="1:6" x14ac:dyDescent="0.25">
      <c r="A7" s="333" t="s">
        <v>254</v>
      </c>
      <c r="B7" s="13" t="s">
        <v>26</v>
      </c>
      <c r="C7" s="62">
        <f>+C6/C3</f>
        <v>0.15077466985546428</v>
      </c>
    </row>
    <row r="8" spans="1:6" x14ac:dyDescent="0.25">
      <c r="A8" s="333" t="s">
        <v>255</v>
      </c>
      <c r="B8" s="13" t="s">
        <v>126</v>
      </c>
      <c r="C8" s="63">
        <f>0.5*9</f>
        <v>4.5</v>
      </c>
    </row>
    <row r="9" spans="1:6" x14ac:dyDescent="0.25">
      <c r="A9" s="333" t="s">
        <v>256</v>
      </c>
      <c r="B9" s="137" t="s">
        <v>163</v>
      </c>
      <c r="C9" s="61">
        <f>' Veri Girişi ve Sonuç Tablosu'!C51</f>
        <v>1059704.4269999999</v>
      </c>
    </row>
    <row r="10" spans="1:6" x14ac:dyDescent="0.25">
      <c r="A10" s="333" t="s">
        <v>257</v>
      </c>
      <c r="B10" s="13" t="s">
        <v>290</v>
      </c>
      <c r="C10" s="61">
        <f>C8*C9</f>
        <v>4768669.9214999992</v>
      </c>
    </row>
    <row r="11" spans="1:6" x14ac:dyDescent="0.25">
      <c r="A11" s="333" t="s">
        <v>258</v>
      </c>
      <c r="B11" s="137" t="s">
        <v>163</v>
      </c>
      <c r="C11" s="61">
        <f>' Veri Girişi ve Sonuç Tablosu'!B20</f>
        <v>6358226.5619999999</v>
      </c>
    </row>
    <row r="12" spans="1:6" ht="13.5" customHeight="1" thickBot="1" x14ac:dyDescent="0.3">
      <c r="A12" s="334" t="s">
        <v>259</v>
      </c>
      <c r="B12" s="14" t="s">
        <v>126</v>
      </c>
      <c r="C12" s="64">
        <f>+C10/C11</f>
        <v>0.74999999999999989</v>
      </c>
    </row>
    <row r="13" spans="1:6" ht="21" thickBot="1" x14ac:dyDescent="0.4">
      <c r="A13" s="65" t="s">
        <v>73</v>
      </c>
      <c r="B13" s="66" t="s">
        <v>126</v>
      </c>
      <c r="C13" s="67">
        <f>C12</f>
        <v>0.74999999999999989</v>
      </c>
    </row>
    <row r="16" spans="1:6" ht="13.8" thickBot="1" x14ac:dyDescent="0.3"/>
    <row r="17" spans="1:3" ht="21" thickBot="1" x14ac:dyDescent="0.4">
      <c r="A17" s="646" t="s">
        <v>134</v>
      </c>
      <c r="B17" s="647"/>
      <c r="C17" s="648"/>
    </row>
  </sheetData>
  <mergeCells count="2">
    <mergeCell ref="A1:C1"/>
    <mergeCell ref="A17:C17"/>
  </mergeCells>
  <hyperlinks>
    <hyperlink ref="A17:C17" location="' Veri Girişi ve Sonuç Tablosu'!A1" display="Veri giriş sayfasına dönmek için tıklayınız.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13"/>
  <sheetViews>
    <sheetView zoomScale="130" zoomScaleNormal="130" zoomScalePageLayoutView="130" workbookViewId="0">
      <selection activeCell="C7" sqref="C7"/>
    </sheetView>
  </sheetViews>
  <sheetFormatPr defaultColWidth="8.88671875" defaultRowHeight="13.2" x14ac:dyDescent="0.25"/>
  <cols>
    <col min="1" max="1" width="57.44140625" style="3" customWidth="1"/>
    <col min="2" max="2" width="19.88671875" style="3" customWidth="1"/>
    <col min="3" max="3" width="21.44140625" style="3" customWidth="1"/>
    <col min="4" max="5" width="8.88671875" style="3" customWidth="1"/>
    <col min="6" max="6" width="9.5546875" style="3" customWidth="1"/>
    <col min="7" max="7" width="8.88671875" style="3" customWidth="1"/>
    <col min="8" max="42" width="8.88671875" style="68" customWidth="1"/>
    <col min="43" max="255" width="8.88671875" customWidth="1"/>
  </cols>
  <sheetData>
    <row r="1" spans="1:7" ht="20.25" customHeight="1" thickBot="1" x14ac:dyDescent="0.35">
      <c r="A1" s="688" t="s">
        <v>74</v>
      </c>
      <c r="B1" s="689"/>
      <c r="C1" s="690"/>
    </row>
    <row r="2" spans="1:7" x14ac:dyDescent="0.25">
      <c r="A2" s="10" t="s">
        <v>27</v>
      </c>
      <c r="B2" s="11" t="s">
        <v>180</v>
      </c>
      <c r="C2" s="12" t="s">
        <v>72</v>
      </c>
    </row>
    <row r="3" spans="1:7" x14ac:dyDescent="0.25">
      <c r="A3" s="163" t="s">
        <v>291</v>
      </c>
      <c r="B3" s="137" t="s">
        <v>125</v>
      </c>
      <c r="C3" s="18">
        <v>90000000</v>
      </c>
    </row>
    <row r="4" spans="1:7" x14ac:dyDescent="0.25">
      <c r="A4" s="163" t="s">
        <v>261</v>
      </c>
      <c r="B4" s="137" t="s">
        <v>267</v>
      </c>
      <c r="C4" s="19">
        <f>' Veri Girişi ve Sonuç Tablosu'!C59</f>
        <v>25</v>
      </c>
      <c r="F4" s="4"/>
    </row>
    <row r="5" spans="1:7" x14ac:dyDescent="0.25">
      <c r="A5" s="163" t="s">
        <v>262</v>
      </c>
      <c r="B5" s="13" t="s">
        <v>26</v>
      </c>
      <c r="C5" s="20">
        <f>' Veri Girişi ve Sonuç Tablosu'!C60</f>
        <v>0.1</v>
      </c>
    </row>
    <row r="6" spans="1:7" x14ac:dyDescent="0.25">
      <c r="A6" s="163" t="s">
        <v>263</v>
      </c>
      <c r="B6" s="137" t="s">
        <v>290</v>
      </c>
      <c r="C6" s="19">
        <v>8550000</v>
      </c>
    </row>
    <row r="7" spans="1:7" x14ac:dyDescent="0.25">
      <c r="A7" s="163" t="s">
        <v>264</v>
      </c>
      <c r="B7" s="137" t="s">
        <v>290</v>
      </c>
      <c r="C7" s="18">
        <f>C6*1.1</f>
        <v>9405000</v>
      </c>
      <c r="G7" s="3" t="s">
        <v>71</v>
      </c>
    </row>
    <row r="8" spans="1:7" x14ac:dyDescent="0.25">
      <c r="A8" s="163" t="s">
        <v>265</v>
      </c>
      <c r="B8" s="137" t="s">
        <v>163</v>
      </c>
      <c r="C8" s="18">
        <f>' Veri Girişi ve Sonuç Tablosu'!B20</f>
        <v>6358226.5619999999</v>
      </c>
    </row>
    <row r="9" spans="1:7" ht="13.8" thickBot="1" x14ac:dyDescent="0.3">
      <c r="A9" s="335" t="s">
        <v>266</v>
      </c>
      <c r="B9" s="14" t="s">
        <v>126</v>
      </c>
      <c r="C9" s="165">
        <f>C7/C8</f>
        <v>1.4791860447705765</v>
      </c>
    </row>
    <row r="10" spans="1:7" ht="21" thickBot="1" x14ac:dyDescent="0.4">
      <c r="A10" s="166" t="s">
        <v>74</v>
      </c>
      <c r="B10" s="167" t="s">
        <v>126</v>
      </c>
      <c r="C10" s="168">
        <f>+C9</f>
        <v>1.4791860447705765</v>
      </c>
    </row>
    <row r="12" spans="1:7" ht="13.8" thickBot="1" x14ac:dyDescent="0.3"/>
    <row r="13" spans="1:7" ht="18" thickBot="1" x14ac:dyDescent="0.35">
      <c r="A13" s="691" t="s">
        <v>134</v>
      </c>
      <c r="B13" s="692"/>
      <c r="C13" s="693"/>
    </row>
  </sheetData>
  <mergeCells count="2">
    <mergeCell ref="A1:C1"/>
    <mergeCell ref="A13:C13"/>
  </mergeCells>
  <hyperlinks>
    <hyperlink ref="A13:C13" location="' Veri Girişi ve Sonuç Tablosu'!A47" display="Veri giriş sayfasına dönmek için tıklayınız.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6BFB59621223041ACA26C1625C88120" ma:contentTypeVersion="1" ma:contentTypeDescription="Yeni belge oluşturun." ma:contentTypeScope="" ma:versionID="d640aabe8aa7dfcf6ddfc0e8f64e7d9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830085-31AF-48DC-AA84-8897AACB96B4}"/>
</file>

<file path=customXml/itemProps2.xml><?xml version="1.0" encoding="utf-8"?>
<ds:datastoreItem xmlns:ds="http://schemas.openxmlformats.org/officeDocument/2006/customXml" ds:itemID="{1D8B99E3-E87E-49D5-82D3-1FB8CC55E5D0}"/>
</file>

<file path=customXml/itemProps3.xml><?xml version="1.0" encoding="utf-8"?>
<ds:datastoreItem xmlns:ds="http://schemas.openxmlformats.org/officeDocument/2006/customXml" ds:itemID="{2ECB4B68-6CE3-4F5A-88E0-CF57D75741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TARİFE HESAP DİYGRAMI-KURALLARI</vt:lpstr>
      <vt:lpstr> Veri Girişi ve Sonuç Tablosu</vt:lpstr>
      <vt:lpstr>Genel Maliyetler</vt:lpstr>
      <vt:lpstr>Su-Atıksu Amortisman </vt:lpstr>
      <vt:lpstr>Su Temini hizmetleri</vt:lpstr>
      <vt:lpstr>Atıksu Hizmetleri</vt:lpstr>
      <vt:lpstr>Sabit ve Değiş. Fins. Maliyet.</vt:lpstr>
      <vt:lpstr>Kaynak Maliyeti</vt:lpstr>
      <vt:lpstr>Çevresel Maliyet</vt:lpstr>
      <vt:lpstr>Tam Maliyet</vt:lpstr>
      <vt:lpstr>Sayfa2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Seda Abat</cp:lastModifiedBy>
  <dcterms:created xsi:type="dcterms:W3CDTF">2021-01-21T07:11:03Z</dcterms:created>
  <dcterms:modified xsi:type="dcterms:W3CDTF">2023-09-01T13:21:03Z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0x01010046BFB59621223041ACA26C1625C88120</vt:lpwstr>
  </property>
</Properties>
</file>